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omments4.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hidePivotFieldList="1" autoCompressPictures="0" defaultThemeVersion="124226"/>
  <mc:AlternateContent xmlns:mc="http://schemas.openxmlformats.org/markup-compatibility/2006">
    <mc:Choice Requires="x15">
      <x15ac:absPath xmlns:x15ac="http://schemas.microsoft.com/office/spreadsheetml/2010/11/ac" url="https://appriver3651005261.sharepoint.com/sites/FactBook2020updates/Shared Documents/DataExchange/DE2019-20/Summary Data/"/>
    </mc:Choice>
  </mc:AlternateContent>
  <xr:revisionPtr revIDLastSave="87" documentId="13_ncr:1_{216D5136-B387-497D-91AD-D5D6620AEEC2}" xr6:coauthVersionLast="46" xr6:coauthVersionMax="46" xr10:uidLastSave="{B9CC16FE-9BD5-4451-A73E-324E97541A7A}"/>
  <bookViews>
    <workbookView xWindow="-15030" yWindow="1545" windowWidth="14355" windowHeight="3270" firstSheet="6" activeTab="7" xr2:uid="{00000000-000D-0000-FFFF-FFFF00000000}"/>
  </bookViews>
  <sheets>
    <sheet name="NEW...Tables 87-90" sheetId="20" r:id="rId1"/>
    <sheet name="OLD...Tables" sheetId="19" r:id="rId2"/>
    <sheet name="NEW...Tables 91-112" sheetId="18" r:id="rId3"/>
    <sheet name="OLD...Tabs" sheetId="17" r:id="rId4"/>
    <sheet name="Pivot Table for Data Exchange" sheetId="15" r:id="rId5"/>
    <sheet name="05InstructionTypes" sheetId="1" r:id="rId6"/>
    <sheet name="Format for DE pivot" sheetId="12" r:id="rId7"/>
    <sheet name="Summary Table for Fact Book" sheetId="16" r:id="rId8"/>
    <sheet name="Pivot Table for Fact Book" sheetId="14" r:id="rId9"/>
    <sheet name="Format for FB Pivot Tab" sheetId="13" r:id="rId10"/>
  </sheets>
  <definedNames>
    <definedName name="_xlnm.Print_Area" localSheetId="0">'NEW...Tables 87-90'!$A$1:$P$116</definedName>
    <definedName name="_xlnm.Print_Area" localSheetId="2">'NEW...Tables 91-112'!$A$1:$P$461</definedName>
    <definedName name="_xlnm.Print_Area" localSheetId="1">'OLD...Tables'!$A$1:$P$113</definedName>
    <definedName name="_xlnm.Print_Area" localSheetId="3">'OLD...Tabs'!$A$1:$P$461</definedName>
    <definedName name="Type13gr1_1" localSheetId="5">'05InstructionTypes'!$W$47:$W$132</definedName>
    <definedName name="Type13gr1_2" localSheetId="5">'05InstructionTypes'!$W$47:$W$132</definedName>
    <definedName name="Type13gr1_3" localSheetId="5">'05InstructionTypes'!$W$45:$W$130</definedName>
    <definedName name="Type13gr2_1" localSheetId="5">'05InstructionTypes'!$Y$47:$Y$132</definedName>
    <definedName name="Type13gr2_2" localSheetId="5">'05InstructionTypes'!$Y$47:$Y$132</definedName>
    <definedName name="Type13gr2_3" localSheetId="5">'05InstructionTypes'!$Y$45:$Y$130</definedName>
    <definedName name="Type13gr3_1" localSheetId="5">'05InstructionTypes'!$AC$47:$AC$132</definedName>
    <definedName name="Type13gr3_2" localSheetId="5">'05InstructionTypes'!$AC$47:$AC$132</definedName>
    <definedName name="Type13gr3_3" localSheetId="5">'05InstructionTypes'!$AC$45:$AC$130</definedName>
    <definedName name="Type13gr4_1" localSheetId="5">'05InstructionTypes'!$AD$47:$AD$132</definedName>
    <definedName name="Type13gr4_2" localSheetId="5">'05InstructionTypes'!$AD$47:$AD$132</definedName>
    <definedName name="Type13gr4_3" localSheetId="5">'05InstructionTypes'!$AD$45:$AD$130</definedName>
    <definedName name="Type13gr5_2" localSheetId="5">'05InstructionTypes'!$AE$47:$AE$132</definedName>
    <definedName name="Type13gr5_3" localSheetId="5">'05InstructionTypes'!$AE$47:$AE$132</definedName>
    <definedName name="Type13gr5_4" localSheetId="5">'05InstructionTypes'!$AE$45:$AE$130</definedName>
    <definedName name="Type13ug1_1" localSheetId="5">'05InstructionTypes'!$I$47:$I$132</definedName>
    <definedName name="Type13ug1_2" localSheetId="5">'05InstructionTypes'!$I$47:$I$132</definedName>
    <definedName name="Type13ug1_3" localSheetId="5">'05InstructionTypes'!$I$45:$I$130</definedName>
    <definedName name="Type13ug2_1" localSheetId="5">'05InstructionTypes'!$K$47:$K$132</definedName>
    <definedName name="Type13ug2_2" localSheetId="5">'05InstructionTypes'!$K$47:$K$132</definedName>
    <definedName name="Type13ug2_3" localSheetId="5">'05InstructionTypes'!$K$45:$K$130</definedName>
    <definedName name="Type13ug3_1" localSheetId="5">'05InstructionTypes'!$O$47:$O$132</definedName>
    <definedName name="Type13ug3_2" localSheetId="5">'05InstructionTypes'!$O$47:$O$132</definedName>
    <definedName name="Type13ug3_3" localSheetId="5">'05InstructionTypes'!$O$45:$O$130</definedName>
    <definedName name="Type13ug4_1" localSheetId="5">'05InstructionTypes'!$P$47:$P$132</definedName>
    <definedName name="Type13ug4_2" localSheetId="5">'05InstructionTypes'!$P$47:$P$132</definedName>
    <definedName name="Type13ug4_3" localSheetId="5">'05InstructionTypes'!$P$45:$P$130</definedName>
    <definedName name="Type13ug5_1" localSheetId="5">'05InstructionTypes'!$Q$47:$Q$132</definedName>
    <definedName name="Type13ug5_2" localSheetId="5">'05InstructionTypes'!$Q$47:$Q$132</definedName>
    <definedName name="Type13ug5_3" localSheetId="5">'05InstructionTypes'!$Q$45:$Q$130</definedName>
  </definedNames>
  <calcPr calcId="191029"/>
  <pivotCaches>
    <pivotCache cacheId="18"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B5" i="16" l="1"/>
  <c r="C5" i="16"/>
  <c r="U534" i="1" l="1"/>
  <c r="T534" i="1"/>
  <c r="G534" i="1"/>
  <c r="F534" i="1"/>
  <c r="U533" i="1"/>
  <c r="T533" i="1"/>
  <c r="G533" i="1"/>
  <c r="F533" i="1"/>
  <c r="U532" i="1"/>
  <c r="T532" i="1"/>
  <c r="G532" i="1"/>
  <c r="F532" i="1"/>
  <c r="U531" i="1"/>
  <c r="T531" i="1"/>
  <c r="G531" i="1"/>
  <c r="F531" i="1"/>
  <c r="U530" i="1"/>
  <c r="T530" i="1"/>
  <c r="G530" i="1"/>
  <c r="F530" i="1"/>
  <c r="U529" i="1"/>
  <c r="T529" i="1"/>
  <c r="G529" i="1"/>
  <c r="F529" i="1"/>
  <c r="U528" i="1"/>
  <c r="T528" i="1"/>
  <c r="G528" i="1"/>
  <c r="F528" i="1"/>
  <c r="U527" i="1"/>
  <c r="T527" i="1"/>
  <c r="G527" i="1"/>
  <c r="F527" i="1"/>
  <c r="U526" i="1"/>
  <c r="T526" i="1"/>
  <c r="G526" i="1"/>
  <c r="F526" i="1"/>
  <c r="U525" i="1"/>
  <c r="T525" i="1"/>
  <c r="G525" i="1"/>
  <c r="F525" i="1"/>
  <c r="U524" i="1"/>
  <c r="T524" i="1"/>
  <c r="G524" i="1"/>
  <c r="F524" i="1"/>
  <c r="U523" i="1"/>
  <c r="T523" i="1"/>
  <c r="G523" i="1"/>
  <c r="F523" i="1"/>
  <c r="U522" i="1"/>
  <c r="T522" i="1"/>
  <c r="G522" i="1"/>
  <c r="F522" i="1"/>
  <c r="U521" i="1"/>
  <c r="T521" i="1"/>
  <c r="G521" i="1"/>
  <c r="F521" i="1"/>
  <c r="U520" i="1"/>
  <c r="T520" i="1"/>
  <c r="G520" i="1"/>
  <c r="F520" i="1"/>
  <c r="U519" i="1"/>
  <c r="T519" i="1"/>
  <c r="G519" i="1"/>
  <c r="F519" i="1"/>
  <c r="U518" i="1"/>
  <c r="T518" i="1"/>
  <c r="G518" i="1"/>
  <c r="F518" i="1"/>
  <c r="U517" i="1"/>
  <c r="T517" i="1"/>
  <c r="G517" i="1"/>
  <c r="F517" i="1"/>
  <c r="U516" i="1"/>
  <c r="T516" i="1"/>
  <c r="G516" i="1"/>
  <c r="F516" i="1"/>
  <c r="U515" i="1"/>
  <c r="T515" i="1"/>
  <c r="G515" i="1"/>
  <c r="F515" i="1"/>
  <c r="U514" i="1"/>
  <c r="T514" i="1"/>
  <c r="G514" i="1"/>
  <c r="F514" i="1"/>
  <c r="U513" i="1"/>
  <c r="T513" i="1"/>
  <c r="G513" i="1"/>
  <c r="F513" i="1"/>
  <c r="U512" i="1"/>
  <c r="T512" i="1"/>
  <c r="G512" i="1"/>
  <c r="F512" i="1"/>
  <c r="U511" i="1"/>
  <c r="T511" i="1"/>
  <c r="G511" i="1"/>
  <c r="F511" i="1"/>
  <c r="U510" i="1"/>
  <c r="T510" i="1"/>
  <c r="G510" i="1"/>
  <c r="F510" i="1"/>
  <c r="U509" i="1"/>
  <c r="T509" i="1"/>
  <c r="G509" i="1"/>
  <c r="F509" i="1"/>
  <c r="U508" i="1"/>
  <c r="T508" i="1"/>
  <c r="G508" i="1"/>
  <c r="F508" i="1"/>
  <c r="U507" i="1"/>
  <c r="T507" i="1"/>
  <c r="G507" i="1"/>
  <c r="F507" i="1"/>
  <c r="U506" i="1"/>
  <c r="T506" i="1"/>
  <c r="G506" i="1"/>
  <c r="F506" i="1"/>
  <c r="U505" i="1"/>
  <c r="T505" i="1"/>
  <c r="G505" i="1"/>
  <c r="F505" i="1"/>
  <c r="U504" i="1"/>
  <c r="T504" i="1"/>
  <c r="G504" i="1"/>
  <c r="F504" i="1"/>
  <c r="U503" i="1"/>
  <c r="T503" i="1"/>
  <c r="G503" i="1"/>
  <c r="F503" i="1"/>
  <c r="U502" i="1"/>
  <c r="T502" i="1"/>
  <c r="G502" i="1"/>
  <c r="F502" i="1"/>
  <c r="U501" i="1"/>
  <c r="T501" i="1"/>
  <c r="G501" i="1"/>
  <c r="F501" i="1"/>
  <c r="U500" i="1"/>
  <c r="T500" i="1"/>
  <c r="G500" i="1"/>
  <c r="F500" i="1"/>
  <c r="U499" i="1"/>
  <c r="T499" i="1"/>
  <c r="G499" i="1"/>
  <c r="F499" i="1"/>
  <c r="U498" i="1"/>
  <c r="T498" i="1"/>
  <c r="G498" i="1"/>
  <c r="F498" i="1"/>
  <c r="U497" i="1"/>
  <c r="T497" i="1"/>
  <c r="G497" i="1"/>
  <c r="F497" i="1"/>
  <c r="U496" i="1"/>
  <c r="T496" i="1"/>
  <c r="G496" i="1"/>
  <c r="F496" i="1"/>
  <c r="U495" i="1"/>
  <c r="T495" i="1"/>
  <c r="G495" i="1"/>
  <c r="F495" i="1"/>
  <c r="U494" i="1"/>
  <c r="T494" i="1"/>
  <c r="G494" i="1"/>
  <c r="F494" i="1"/>
  <c r="U493" i="1"/>
  <c r="T493" i="1"/>
  <c r="G493" i="1"/>
  <c r="F493" i="1"/>
  <c r="U492" i="1"/>
  <c r="T492" i="1"/>
  <c r="G492" i="1"/>
  <c r="F492" i="1"/>
  <c r="U491" i="1"/>
  <c r="T491" i="1"/>
  <c r="G491" i="1"/>
  <c r="F491" i="1"/>
  <c r="U490" i="1"/>
  <c r="T490" i="1"/>
  <c r="G490" i="1"/>
  <c r="F490" i="1"/>
  <c r="U489" i="1"/>
  <c r="T489" i="1"/>
  <c r="G489" i="1"/>
  <c r="F489" i="1"/>
  <c r="U488" i="1"/>
  <c r="T488" i="1"/>
  <c r="G488" i="1"/>
  <c r="F488" i="1"/>
  <c r="U487" i="1"/>
  <c r="T487" i="1"/>
  <c r="G487" i="1"/>
  <c r="F487" i="1"/>
  <c r="U486" i="1"/>
  <c r="T486" i="1"/>
  <c r="G486" i="1"/>
  <c r="F486" i="1"/>
  <c r="U485" i="1"/>
  <c r="T485" i="1"/>
  <c r="G485" i="1"/>
  <c r="F485" i="1"/>
  <c r="U484" i="1"/>
  <c r="T484" i="1"/>
  <c r="G484" i="1"/>
  <c r="F484" i="1"/>
  <c r="U483" i="1"/>
  <c r="T483" i="1"/>
  <c r="G483" i="1"/>
  <c r="F483" i="1"/>
  <c r="U482" i="1"/>
  <c r="T482" i="1"/>
  <c r="G482" i="1"/>
  <c r="F482" i="1"/>
  <c r="U481" i="1"/>
  <c r="T481" i="1"/>
  <c r="G481" i="1"/>
  <c r="F481" i="1"/>
  <c r="U480" i="1"/>
  <c r="T480" i="1"/>
  <c r="G480" i="1"/>
  <c r="F480" i="1"/>
  <c r="U479" i="1"/>
  <c r="T479" i="1"/>
  <c r="G479" i="1"/>
  <c r="F479" i="1"/>
  <c r="U478" i="1"/>
  <c r="T478" i="1"/>
  <c r="G478" i="1"/>
  <c r="F478" i="1"/>
  <c r="U477" i="1"/>
  <c r="T477" i="1"/>
  <c r="G477" i="1"/>
  <c r="F477" i="1"/>
  <c r="U476" i="1"/>
  <c r="T476" i="1"/>
  <c r="G476" i="1"/>
  <c r="F476" i="1"/>
  <c r="U475" i="1"/>
  <c r="T475" i="1"/>
  <c r="G475" i="1"/>
  <c r="F475" i="1"/>
  <c r="U474" i="1"/>
  <c r="T474" i="1"/>
  <c r="G474" i="1"/>
  <c r="F474" i="1"/>
  <c r="U473" i="1"/>
  <c r="T473" i="1"/>
  <c r="G473" i="1"/>
  <c r="F473" i="1"/>
  <c r="U472" i="1"/>
  <c r="T472" i="1"/>
  <c r="G472" i="1"/>
  <c r="F472" i="1"/>
  <c r="U471" i="1"/>
  <c r="T471" i="1"/>
  <c r="G471" i="1"/>
  <c r="F471" i="1"/>
  <c r="U470" i="1"/>
  <c r="T470" i="1"/>
  <c r="G470" i="1"/>
  <c r="F470" i="1"/>
  <c r="U469" i="1"/>
  <c r="T469" i="1"/>
  <c r="G469" i="1"/>
  <c r="F469" i="1"/>
  <c r="U468" i="1"/>
  <c r="T468" i="1"/>
  <c r="G468" i="1"/>
  <c r="F468" i="1"/>
  <c r="U467" i="1"/>
  <c r="T467" i="1"/>
  <c r="G467" i="1"/>
  <c r="F467" i="1"/>
  <c r="U466" i="1"/>
  <c r="T466" i="1"/>
  <c r="G466" i="1"/>
  <c r="F466" i="1"/>
  <c r="U465" i="1"/>
  <c r="T465" i="1"/>
  <c r="G465" i="1"/>
  <c r="F465" i="1"/>
  <c r="U464" i="1"/>
  <c r="T464" i="1"/>
  <c r="G464" i="1"/>
  <c r="F464" i="1"/>
  <c r="U463" i="1"/>
  <c r="T463" i="1"/>
  <c r="G463" i="1"/>
  <c r="F463" i="1"/>
  <c r="U462" i="1"/>
  <c r="T462" i="1"/>
  <c r="G462" i="1"/>
  <c r="F462" i="1"/>
  <c r="U461" i="1"/>
  <c r="T461" i="1"/>
  <c r="G461" i="1"/>
  <c r="F461" i="1"/>
  <c r="U460" i="1"/>
  <c r="T460" i="1"/>
  <c r="G460" i="1"/>
  <c r="F460" i="1"/>
  <c r="U459" i="1"/>
  <c r="T459" i="1"/>
  <c r="G459" i="1"/>
  <c r="F459" i="1"/>
  <c r="U458" i="1"/>
  <c r="T458" i="1"/>
  <c r="G458" i="1"/>
  <c r="F458" i="1"/>
  <c r="U457" i="1"/>
  <c r="T457" i="1"/>
  <c r="G457" i="1"/>
  <c r="F457" i="1"/>
  <c r="U456" i="1"/>
  <c r="T456" i="1"/>
  <c r="G456" i="1"/>
  <c r="F456" i="1"/>
  <c r="U455" i="1"/>
  <c r="T455" i="1"/>
  <c r="G455" i="1"/>
  <c r="F455" i="1"/>
  <c r="U454" i="1"/>
  <c r="T454" i="1"/>
  <c r="G454" i="1"/>
  <c r="F454" i="1"/>
  <c r="U453" i="1"/>
  <c r="T453" i="1"/>
  <c r="G453" i="1"/>
  <c r="F453" i="1"/>
  <c r="U452" i="1"/>
  <c r="T452" i="1"/>
  <c r="G452" i="1"/>
  <c r="F452" i="1"/>
  <c r="U451" i="1"/>
  <c r="T451" i="1"/>
  <c r="G451" i="1"/>
  <c r="F451" i="1"/>
  <c r="U449" i="1"/>
  <c r="T449" i="1"/>
  <c r="G449" i="1"/>
  <c r="F449" i="1"/>
  <c r="U448" i="1"/>
  <c r="T448" i="1"/>
  <c r="G448" i="1"/>
  <c r="F448" i="1"/>
  <c r="U447" i="1"/>
  <c r="T447" i="1"/>
  <c r="G447" i="1"/>
  <c r="F447" i="1"/>
  <c r="U446" i="1"/>
  <c r="T446" i="1"/>
  <c r="G446" i="1"/>
  <c r="F446" i="1"/>
  <c r="U445" i="1"/>
  <c r="T445" i="1"/>
  <c r="G445" i="1"/>
  <c r="F445" i="1"/>
  <c r="U444" i="1"/>
  <c r="T444" i="1"/>
  <c r="G444" i="1"/>
  <c r="F444" i="1"/>
  <c r="U443" i="1"/>
  <c r="T443" i="1"/>
  <c r="G443" i="1"/>
  <c r="F443" i="1"/>
  <c r="U442" i="1"/>
  <c r="T442" i="1"/>
  <c r="G442" i="1"/>
  <c r="F442" i="1"/>
  <c r="U441" i="1"/>
  <c r="T441" i="1"/>
  <c r="G441" i="1"/>
  <c r="F441" i="1"/>
  <c r="U440" i="1"/>
  <c r="T440" i="1"/>
  <c r="G440" i="1"/>
  <c r="F440" i="1"/>
  <c r="U439" i="1"/>
  <c r="T439" i="1"/>
  <c r="G439" i="1"/>
  <c r="F439" i="1"/>
  <c r="U438" i="1"/>
  <c r="T438" i="1"/>
  <c r="G438" i="1"/>
  <c r="F438" i="1"/>
  <c r="U437" i="1"/>
  <c r="T437" i="1"/>
  <c r="G437" i="1"/>
  <c r="F437" i="1"/>
  <c r="U436" i="1"/>
  <c r="T436" i="1"/>
  <c r="G436" i="1"/>
  <c r="F436" i="1"/>
  <c r="U435" i="1"/>
  <c r="T435" i="1"/>
  <c r="G435" i="1"/>
  <c r="F435" i="1"/>
  <c r="U434" i="1"/>
  <c r="T434" i="1"/>
  <c r="G434" i="1"/>
  <c r="F434" i="1"/>
  <c r="U433" i="1"/>
  <c r="T433" i="1"/>
  <c r="G433" i="1"/>
  <c r="F433" i="1"/>
  <c r="U432" i="1"/>
  <c r="T432" i="1"/>
  <c r="G432" i="1"/>
  <c r="F432" i="1"/>
  <c r="U431" i="1"/>
  <c r="T431" i="1"/>
  <c r="G431" i="1"/>
  <c r="F431" i="1"/>
  <c r="U430" i="1"/>
  <c r="T430" i="1"/>
  <c r="G430" i="1"/>
  <c r="F430" i="1"/>
  <c r="U429" i="1"/>
  <c r="T429" i="1"/>
  <c r="G429" i="1"/>
  <c r="F429" i="1"/>
  <c r="U428" i="1"/>
  <c r="T428" i="1"/>
  <c r="G428" i="1"/>
  <c r="F428" i="1"/>
  <c r="U427" i="1"/>
  <c r="T427" i="1"/>
  <c r="G427" i="1"/>
  <c r="F427" i="1"/>
  <c r="U426" i="1"/>
  <c r="T426" i="1"/>
  <c r="G426" i="1"/>
  <c r="F426" i="1"/>
  <c r="U425" i="1"/>
  <c r="T425" i="1"/>
  <c r="G425" i="1"/>
  <c r="F425" i="1"/>
  <c r="U424" i="1"/>
  <c r="T424" i="1"/>
  <c r="G424" i="1"/>
  <c r="F424" i="1"/>
  <c r="U423" i="1"/>
  <c r="T423" i="1"/>
  <c r="G423" i="1"/>
  <c r="F423" i="1"/>
  <c r="U422" i="1"/>
  <c r="T422" i="1"/>
  <c r="G422" i="1"/>
  <c r="F422" i="1"/>
  <c r="U421" i="1"/>
  <c r="T421" i="1"/>
  <c r="G421" i="1"/>
  <c r="F421" i="1"/>
  <c r="U420" i="1"/>
  <c r="T420" i="1"/>
  <c r="G420" i="1"/>
  <c r="F420" i="1"/>
  <c r="U419" i="1"/>
  <c r="T419" i="1"/>
  <c r="G419" i="1"/>
  <c r="F419" i="1"/>
  <c r="U418" i="1"/>
  <c r="T418" i="1"/>
  <c r="G418" i="1"/>
  <c r="F418" i="1"/>
  <c r="U417" i="1"/>
  <c r="T417" i="1"/>
  <c r="G417" i="1"/>
  <c r="F417" i="1"/>
  <c r="U416" i="1"/>
  <c r="T416" i="1"/>
  <c r="G416" i="1"/>
  <c r="F416" i="1"/>
  <c r="U415" i="1"/>
  <c r="T415" i="1"/>
  <c r="G415" i="1"/>
  <c r="F415" i="1"/>
  <c r="U414" i="1"/>
  <c r="T414" i="1"/>
  <c r="G414" i="1"/>
  <c r="F414" i="1"/>
  <c r="U413" i="1"/>
  <c r="T413" i="1"/>
  <c r="G413" i="1"/>
  <c r="F413" i="1"/>
  <c r="U412" i="1"/>
  <c r="T412" i="1"/>
  <c r="G412" i="1"/>
  <c r="F412" i="1"/>
  <c r="U411" i="1"/>
  <c r="T411" i="1"/>
  <c r="G411" i="1"/>
  <c r="F411" i="1"/>
  <c r="U410" i="1"/>
  <c r="T410" i="1"/>
  <c r="G410" i="1"/>
  <c r="F410" i="1"/>
  <c r="U409" i="1"/>
  <c r="T409" i="1"/>
  <c r="G409" i="1"/>
  <c r="F409" i="1"/>
  <c r="U408" i="1"/>
  <c r="T408" i="1"/>
  <c r="G408" i="1"/>
  <c r="F408" i="1"/>
  <c r="U407" i="1"/>
  <c r="T407" i="1"/>
  <c r="G407" i="1"/>
  <c r="F407" i="1"/>
  <c r="U406" i="1"/>
  <c r="T406" i="1"/>
  <c r="G406" i="1"/>
  <c r="F406" i="1"/>
  <c r="U405" i="1"/>
  <c r="T405" i="1"/>
  <c r="G405" i="1"/>
  <c r="F405" i="1"/>
  <c r="U404" i="1"/>
  <c r="T404" i="1"/>
  <c r="G404" i="1"/>
  <c r="F404" i="1"/>
  <c r="U403" i="1"/>
  <c r="T403" i="1"/>
  <c r="G403" i="1"/>
  <c r="F403" i="1"/>
  <c r="U402" i="1"/>
  <c r="T402" i="1"/>
  <c r="G402" i="1"/>
  <c r="F402" i="1"/>
  <c r="U401" i="1"/>
  <c r="T401" i="1"/>
  <c r="G401" i="1"/>
  <c r="F401" i="1"/>
  <c r="U400" i="1"/>
  <c r="T400" i="1"/>
  <c r="G400" i="1"/>
  <c r="F400" i="1"/>
  <c r="U399" i="1"/>
  <c r="T399" i="1"/>
  <c r="G399" i="1"/>
  <c r="F399" i="1"/>
  <c r="U398" i="1"/>
  <c r="T398" i="1"/>
  <c r="G398" i="1"/>
  <c r="F398" i="1"/>
  <c r="U397" i="1"/>
  <c r="T397" i="1"/>
  <c r="G397" i="1"/>
  <c r="F397" i="1"/>
  <c r="U396" i="1"/>
  <c r="T396" i="1"/>
  <c r="G396" i="1"/>
  <c r="F396" i="1"/>
  <c r="U395" i="1"/>
  <c r="T395" i="1"/>
  <c r="G395" i="1"/>
  <c r="F395" i="1"/>
  <c r="U394" i="1"/>
  <c r="T394" i="1"/>
  <c r="G394" i="1"/>
  <c r="F394" i="1"/>
  <c r="U393" i="1"/>
  <c r="T393" i="1"/>
  <c r="G393" i="1"/>
  <c r="F393" i="1"/>
  <c r="U392" i="1"/>
  <c r="T392" i="1"/>
  <c r="G392" i="1"/>
  <c r="F392" i="1"/>
  <c r="U391" i="1"/>
  <c r="T391" i="1"/>
  <c r="G391" i="1"/>
  <c r="F391" i="1"/>
  <c r="U390" i="1"/>
  <c r="T390" i="1"/>
  <c r="G390" i="1"/>
  <c r="F390" i="1"/>
  <c r="U389" i="1"/>
  <c r="T389" i="1"/>
  <c r="G389" i="1"/>
  <c r="F389" i="1"/>
  <c r="U388" i="1"/>
  <c r="T388" i="1"/>
  <c r="G388" i="1"/>
  <c r="F388" i="1"/>
  <c r="U387" i="1"/>
  <c r="T387" i="1"/>
  <c r="G387" i="1"/>
  <c r="F387" i="1"/>
  <c r="U386" i="1"/>
  <c r="T386" i="1"/>
  <c r="G386" i="1"/>
  <c r="F386" i="1"/>
  <c r="U385" i="1"/>
  <c r="T385" i="1"/>
  <c r="G385" i="1"/>
  <c r="F385" i="1"/>
  <c r="U384" i="1"/>
  <c r="T384" i="1"/>
  <c r="G384" i="1"/>
  <c r="F384" i="1"/>
  <c r="U383" i="1"/>
  <c r="T383" i="1"/>
  <c r="G383" i="1"/>
  <c r="F383" i="1"/>
  <c r="U382" i="1"/>
  <c r="T382" i="1"/>
  <c r="G382" i="1"/>
  <c r="F382" i="1"/>
  <c r="U381" i="1"/>
  <c r="T381" i="1"/>
  <c r="G381" i="1"/>
  <c r="F381" i="1"/>
  <c r="U380" i="1"/>
  <c r="T380" i="1"/>
  <c r="G380" i="1"/>
  <c r="F380" i="1"/>
  <c r="U379" i="1"/>
  <c r="T379" i="1"/>
  <c r="G379" i="1"/>
  <c r="F379" i="1"/>
  <c r="U378" i="1"/>
  <c r="T378" i="1"/>
  <c r="G378" i="1"/>
  <c r="F378" i="1"/>
  <c r="U377" i="1"/>
  <c r="T377" i="1"/>
  <c r="G377" i="1"/>
  <c r="F377" i="1"/>
  <c r="U376" i="1"/>
  <c r="T376" i="1"/>
  <c r="G376" i="1"/>
  <c r="F376" i="1"/>
  <c r="U375" i="1"/>
  <c r="T375" i="1"/>
  <c r="G375" i="1"/>
  <c r="F375" i="1"/>
  <c r="U374" i="1"/>
  <c r="T374" i="1"/>
  <c r="G374" i="1"/>
  <c r="F374" i="1"/>
  <c r="U373" i="1"/>
  <c r="T373" i="1"/>
  <c r="G373" i="1"/>
  <c r="F373" i="1"/>
  <c r="U372" i="1"/>
  <c r="T372" i="1"/>
  <c r="G372" i="1"/>
  <c r="F372" i="1"/>
  <c r="U371" i="1"/>
  <c r="T371" i="1"/>
  <c r="G371" i="1"/>
  <c r="F371" i="1"/>
  <c r="U370" i="1"/>
  <c r="T370" i="1"/>
  <c r="G370" i="1"/>
  <c r="F370" i="1"/>
  <c r="U369" i="1"/>
  <c r="T369" i="1"/>
  <c r="G369" i="1"/>
  <c r="F369" i="1"/>
  <c r="U368" i="1"/>
  <c r="T368" i="1"/>
  <c r="G368" i="1"/>
  <c r="F368" i="1"/>
  <c r="U367" i="1"/>
  <c r="T367" i="1"/>
  <c r="G367" i="1"/>
  <c r="F367" i="1"/>
  <c r="U366" i="1"/>
  <c r="T366" i="1"/>
  <c r="G366" i="1"/>
  <c r="F366" i="1"/>
  <c r="U365" i="1"/>
  <c r="T365" i="1"/>
  <c r="G365" i="1"/>
  <c r="F365" i="1"/>
  <c r="U364" i="1"/>
  <c r="T364" i="1"/>
  <c r="G364" i="1"/>
  <c r="F364" i="1"/>
  <c r="U363" i="1"/>
  <c r="T363" i="1"/>
  <c r="G363" i="1"/>
  <c r="F363" i="1"/>
  <c r="U362" i="1"/>
  <c r="T362" i="1"/>
  <c r="G362" i="1"/>
  <c r="F362" i="1"/>
  <c r="U361" i="1"/>
  <c r="T361" i="1"/>
  <c r="G361" i="1"/>
  <c r="F361" i="1"/>
  <c r="U360" i="1"/>
  <c r="T360" i="1"/>
  <c r="G360" i="1"/>
  <c r="F360" i="1"/>
  <c r="U359" i="1"/>
  <c r="T359" i="1"/>
  <c r="G359" i="1"/>
  <c r="F359" i="1"/>
  <c r="U358" i="1"/>
  <c r="T358" i="1"/>
  <c r="G358" i="1"/>
  <c r="F358" i="1"/>
  <c r="U357" i="1"/>
  <c r="T357" i="1"/>
  <c r="G357" i="1"/>
  <c r="F357" i="1"/>
  <c r="U356" i="1"/>
  <c r="T356" i="1"/>
  <c r="G356" i="1"/>
  <c r="F356" i="1"/>
  <c r="U355" i="1"/>
  <c r="T355" i="1"/>
  <c r="G355" i="1"/>
  <c r="F355" i="1"/>
  <c r="U354" i="1"/>
  <c r="T354" i="1"/>
  <c r="G354" i="1"/>
  <c r="F354" i="1"/>
  <c r="U353" i="1"/>
  <c r="T353" i="1"/>
  <c r="G353" i="1"/>
  <c r="F353" i="1"/>
  <c r="U352" i="1"/>
  <c r="T352" i="1"/>
  <c r="G352" i="1"/>
  <c r="F352" i="1"/>
  <c r="U351" i="1"/>
  <c r="T351" i="1"/>
  <c r="G351" i="1"/>
  <c r="F351" i="1"/>
  <c r="U350" i="1"/>
  <c r="T350" i="1"/>
  <c r="G350" i="1"/>
  <c r="F350" i="1"/>
  <c r="U349" i="1"/>
  <c r="T349" i="1"/>
  <c r="G349" i="1"/>
  <c r="F349" i="1"/>
  <c r="U348" i="1"/>
  <c r="T348" i="1"/>
  <c r="G348" i="1"/>
  <c r="F348" i="1"/>
  <c r="U347" i="1"/>
  <c r="T347" i="1"/>
  <c r="G347" i="1"/>
  <c r="F347" i="1"/>
  <c r="U346" i="1"/>
  <c r="T346" i="1"/>
  <c r="G346" i="1"/>
  <c r="F346" i="1"/>
  <c r="U345" i="1"/>
  <c r="T345" i="1"/>
  <c r="G345" i="1"/>
  <c r="F345" i="1"/>
  <c r="U344" i="1"/>
  <c r="T344" i="1"/>
  <c r="G344" i="1"/>
  <c r="F344" i="1"/>
  <c r="U343" i="1"/>
  <c r="T343" i="1"/>
  <c r="G343" i="1"/>
  <c r="F343" i="1"/>
  <c r="U342" i="1"/>
  <c r="T342" i="1"/>
  <c r="G342" i="1"/>
  <c r="F342" i="1"/>
  <c r="U341" i="1"/>
  <c r="T341" i="1"/>
  <c r="G341" i="1"/>
  <c r="F341" i="1"/>
  <c r="U340" i="1"/>
  <c r="T340" i="1"/>
  <c r="G340" i="1"/>
  <c r="F340" i="1"/>
  <c r="U339" i="1"/>
  <c r="T339" i="1"/>
  <c r="G339" i="1"/>
  <c r="F339" i="1"/>
  <c r="U338" i="1"/>
  <c r="T338" i="1"/>
  <c r="G338" i="1"/>
  <c r="F338" i="1"/>
  <c r="U337" i="1"/>
  <c r="T337" i="1"/>
  <c r="G337" i="1"/>
  <c r="F337" i="1"/>
  <c r="U336" i="1"/>
  <c r="T336" i="1"/>
  <c r="G336" i="1"/>
  <c r="F336" i="1"/>
  <c r="U335" i="1"/>
  <c r="T335" i="1"/>
  <c r="G335" i="1"/>
  <c r="F335" i="1"/>
  <c r="U334" i="1"/>
  <c r="T334" i="1"/>
  <c r="G334" i="1"/>
  <c r="F334" i="1"/>
  <c r="U333" i="1"/>
  <c r="T333" i="1"/>
  <c r="G333" i="1"/>
  <c r="F333" i="1"/>
  <c r="U332" i="1"/>
  <c r="T332" i="1"/>
  <c r="G332" i="1"/>
  <c r="F332" i="1"/>
  <c r="U331" i="1"/>
  <c r="T331" i="1"/>
  <c r="G331" i="1"/>
  <c r="F331" i="1"/>
  <c r="U330" i="1"/>
  <c r="T330" i="1"/>
  <c r="G330" i="1"/>
  <c r="F330" i="1"/>
  <c r="U329" i="1"/>
  <c r="T329" i="1"/>
  <c r="G329" i="1"/>
  <c r="F329" i="1"/>
  <c r="U328" i="1"/>
  <c r="T328" i="1"/>
  <c r="G328" i="1"/>
  <c r="F328" i="1"/>
  <c r="U327" i="1"/>
  <c r="T327" i="1"/>
  <c r="G327" i="1"/>
  <c r="F327" i="1"/>
  <c r="U326" i="1"/>
  <c r="T326" i="1"/>
  <c r="G326" i="1"/>
  <c r="F326" i="1"/>
  <c r="U325" i="1"/>
  <c r="T325" i="1"/>
  <c r="G325" i="1"/>
  <c r="F325" i="1"/>
  <c r="U324" i="1"/>
  <c r="T324" i="1"/>
  <c r="G324" i="1"/>
  <c r="F324" i="1"/>
  <c r="U323" i="1"/>
  <c r="T323" i="1"/>
  <c r="G323" i="1"/>
  <c r="F323" i="1"/>
  <c r="U322" i="1"/>
  <c r="T322" i="1"/>
  <c r="G322" i="1"/>
  <c r="F322" i="1"/>
  <c r="U321" i="1"/>
  <c r="T321" i="1"/>
  <c r="G321" i="1"/>
  <c r="F321" i="1"/>
  <c r="U320" i="1"/>
  <c r="T320" i="1"/>
  <c r="G320" i="1"/>
  <c r="F320" i="1"/>
  <c r="U319" i="1"/>
  <c r="T319" i="1"/>
  <c r="G319" i="1"/>
  <c r="F319" i="1"/>
  <c r="U318" i="1"/>
  <c r="T318" i="1"/>
  <c r="G318" i="1"/>
  <c r="F318" i="1"/>
  <c r="U317" i="1"/>
  <c r="T317" i="1"/>
  <c r="G317" i="1"/>
  <c r="F317" i="1"/>
  <c r="U316" i="1"/>
  <c r="T316" i="1"/>
  <c r="G316" i="1"/>
  <c r="F316" i="1"/>
  <c r="U315" i="1"/>
  <c r="T315" i="1"/>
  <c r="G315" i="1"/>
  <c r="F315" i="1"/>
  <c r="U314" i="1"/>
  <c r="T314" i="1"/>
  <c r="G314" i="1"/>
  <c r="F314" i="1"/>
  <c r="U313" i="1"/>
  <c r="T313" i="1"/>
  <c r="G313" i="1"/>
  <c r="F313" i="1"/>
  <c r="U312" i="1"/>
  <c r="T312" i="1"/>
  <c r="G312" i="1"/>
  <c r="F312" i="1"/>
  <c r="U311" i="1"/>
  <c r="T311" i="1"/>
  <c r="G311" i="1"/>
  <c r="F311" i="1"/>
  <c r="U310" i="1"/>
  <c r="T310" i="1"/>
  <c r="G310" i="1"/>
  <c r="F310" i="1"/>
  <c r="U309" i="1"/>
  <c r="T309" i="1"/>
  <c r="G309" i="1"/>
  <c r="F309" i="1"/>
  <c r="U308" i="1"/>
  <c r="T308" i="1"/>
  <c r="G308" i="1"/>
  <c r="F308" i="1"/>
  <c r="U307" i="1"/>
  <c r="T307" i="1"/>
  <c r="G307" i="1"/>
  <c r="F307" i="1"/>
  <c r="U306" i="1"/>
  <c r="T306" i="1"/>
  <c r="G306" i="1"/>
  <c r="F306" i="1"/>
  <c r="U305" i="1"/>
  <c r="T305" i="1"/>
  <c r="G305" i="1"/>
  <c r="F305" i="1"/>
  <c r="U304" i="1"/>
  <c r="T304" i="1"/>
  <c r="G304" i="1"/>
  <c r="F304" i="1"/>
  <c r="U303" i="1"/>
  <c r="T303" i="1"/>
  <c r="G303" i="1"/>
  <c r="F303" i="1"/>
  <c r="U302" i="1"/>
  <c r="T302" i="1"/>
  <c r="G302" i="1"/>
  <c r="F302" i="1"/>
  <c r="U301" i="1"/>
  <c r="T301" i="1"/>
  <c r="G301" i="1"/>
  <c r="F301" i="1"/>
  <c r="U300" i="1"/>
  <c r="T300" i="1"/>
  <c r="G300" i="1"/>
  <c r="F300" i="1"/>
  <c r="U299" i="1"/>
  <c r="T299" i="1"/>
  <c r="G299" i="1"/>
  <c r="F299" i="1"/>
  <c r="U298" i="1"/>
  <c r="T298" i="1"/>
  <c r="G298" i="1"/>
  <c r="F298" i="1"/>
  <c r="U297" i="1"/>
  <c r="T297" i="1"/>
  <c r="G297" i="1"/>
  <c r="F297" i="1"/>
  <c r="U296" i="1"/>
  <c r="T296" i="1"/>
  <c r="G296" i="1"/>
  <c r="F296" i="1"/>
  <c r="U295" i="1"/>
  <c r="T295" i="1"/>
  <c r="G295" i="1"/>
  <c r="F295" i="1"/>
  <c r="U294" i="1"/>
  <c r="T294" i="1"/>
  <c r="G294" i="1"/>
  <c r="F294" i="1"/>
  <c r="U293" i="1"/>
  <c r="T293" i="1"/>
  <c r="G293" i="1"/>
  <c r="F293" i="1"/>
  <c r="U292" i="1"/>
  <c r="T292" i="1"/>
  <c r="G292" i="1"/>
  <c r="F292" i="1"/>
  <c r="U291" i="1"/>
  <c r="T291" i="1"/>
  <c r="G291" i="1"/>
  <c r="F291" i="1"/>
  <c r="U290" i="1"/>
  <c r="T290" i="1"/>
  <c r="G290" i="1"/>
  <c r="F290" i="1"/>
  <c r="U289" i="1"/>
  <c r="T289" i="1"/>
  <c r="G289" i="1"/>
  <c r="F289" i="1"/>
  <c r="U288" i="1"/>
  <c r="T288" i="1"/>
  <c r="G288" i="1"/>
  <c r="F288" i="1"/>
  <c r="U287" i="1"/>
  <c r="T287" i="1"/>
  <c r="G287" i="1"/>
  <c r="F287" i="1"/>
  <c r="U286" i="1"/>
  <c r="T286" i="1"/>
  <c r="G286" i="1"/>
  <c r="F286" i="1"/>
  <c r="U285" i="1"/>
  <c r="T285" i="1"/>
  <c r="G285" i="1"/>
  <c r="F285" i="1"/>
  <c r="U284" i="1"/>
  <c r="T284" i="1"/>
  <c r="G284" i="1"/>
  <c r="F284" i="1"/>
  <c r="U283" i="1"/>
  <c r="T283" i="1"/>
  <c r="G283" i="1"/>
  <c r="F283" i="1"/>
  <c r="U282" i="1"/>
  <c r="T282" i="1"/>
  <c r="G282" i="1"/>
  <c r="F282" i="1"/>
  <c r="U281" i="1"/>
  <c r="T281" i="1"/>
  <c r="G281" i="1"/>
  <c r="F281" i="1"/>
  <c r="U280" i="1"/>
  <c r="T280" i="1"/>
  <c r="G280" i="1"/>
  <c r="F280" i="1"/>
  <c r="U279" i="1"/>
  <c r="T279" i="1"/>
  <c r="G279" i="1"/>
  <c r="F279" i="1"/>
  <c r="U278" i="1"/>
  <c r="T278" i="1"/>
  <c r="G278" i="1"/>
  <c r="F278" i="1"/>
  <c r="U277" i="1"/>
  <c r="T277" i="1"/>
  <c r="G277" i="1"/>
  <c r="F277" i="1"/>
  <c r="U276" i="1"/>
  <c r="T276" i="1"/>
  <c r="G276" i="1"/>
  <c r="F276" i="1"/>
  <c r="U275" i="1"/>
  <c r="T275" i="1"/>
  <c r="G275" i="1"/>
  <c r="F275" i="1"/>
  <c r="U274" i="1"/>
  <c r="T274" i="1"/>
  <c r="G274" i="1"/>
  <c r="F274" i="1"/>
  <c r="U273" i="1"/>
  <c r="T273" i="1"/>
  <c r="G273" i="1"/>
  <c r="F273" i="1"/>
  <c r="U272" i="1"/>
  <c r="T272" i="1"/>
  <c r="G272" i="1"/>
  <c r="F272" i="1"/>
  <c r="U271" i="1"/>
  <c r="T271" i="1"/>
  <c r="G271" i="1"/>
  <c r="F271" i="1"/>
  <c r="U270" i="1"/>
  <c r="T270" i="1"/>
  <c r="G270" i="1"/>
  <c r="F270" i="1"/>
  <c r="U269" i="1"/>
  <c r="T269" i="1"/>
  <c r="G269" i="1"/>
  <c r="F269" i="1"/>
  <c r="U268" i="1"/>
  <c r="T268" i="1"/>
  <c r="G268" i="1"/>
  <c r="F268" i="1"/>
  <c r="U267" i="1"/>
  <c r="T267" i="1"/>
  <c r="G267" i="1"/>
  <c r="F267" i="1"/>
  <c r="U266" i="1"/>
  <c r="T266" i="1"/>
  <c r="G266" i="1"/>
  <c r="F266" i="1"/>
  <c r="U265" i="1"/>
  <c r="T265" i="1"/>
  <c r="G265" i="1"/>
  <c r="F265" i="1"/>
  <c r="U264" i="1"/>
  <c r="T264" i="1"/>
  <c r="G264" i="1"/>
  <c r="F264" i="1"/>
  <c r="U263" i="1"/>
  <c r="T263" i="1"/>
  <c r="G263" i="1"/>
  <c r="F263" i="1"/>
  <c r="U262" i="1"/>
  <c r="T262" i="1"/>
  <c r="G262" i="1"/>
  <c r="F262" i="1"/>
  <c r="U261" i="1"/>
  <c r="T261" i="1"/>
  <c r="G261" i="1"/>
  <c r="F261" i="1"/>
  <c r="U260" i="1"/>
  <c r="T260" i="1"/>
  <c r="G260" i="1"/>
  <c r="F260" i="1"/>
  <c r="U259" i="1"/>
  <c r="T259" i="1"/>
  <c r="G259" i="1"/>
  <c r="F259" i="1"/>
  <c r="U258" i="1"/>
  <c r="T258" i="1"/>
  <c r="G258" i="1"/>
  <c r="F258" i="1"/>
  <c r="U257" i="1"/>
  <c r="T257" i="1"/>
  <c r="G257" i="1"/>
  <c r="F257" i="1"/>
  <c r="U256" i="1"/>
  <c r="T256" i="1"/>
  <c r="G256" i="1"/>
  <c r="F256" i="1"/>
  <c r="U255" i="1"/>
  <c r="T255" i="1"/>
  <c r="G255" i="1"/>
  <c r="F255" i="1"/>
  <c r="U254" i="1"/>
  <c r="T254" i="1"/>
  <c r="G254" i="1"/>
  <c r="F254" i="1"/>
  <c r="U253" i="1"/>
  <c r="T253" i="1"/>
  <c r="G253" i="1"/>
  <c r="F253" i="1"/>
  <c r="U252" i="1"/>
  <c r="T252" i="1"/>
  <c r="G252" i="1"/>
  <c r="F252" i="1"/>
  <c r="U251" i="1"/>
  <c r="T251" i="1"/>
  <c r="G251" i="1"/>
  <c r="F251" i="1"/>
  <c r="U250" i="1"/>
  <c r="T250" i="1"/>
  <c r="G250" i="1"/>
  <c r="F250" i="1"/>
  <c r="U249" i="1"/>
  <c r="T249" i="1"/>
  <c r="G249" i="1"/>
  <c r="F249" i="1"/>
  <c r="U248" i="1"/>
  <c r="T248" i="1"/>
  <c r="G248" i="1"/>
  <c r="F248" i="1"/>
  <c r="U247" i="1"/>
  <c r="T247" i="1"/>
  <c r="G247" i="1"/>
  <c r="F247" i="1"/>
  <c r="U246" i="1"/>
  <c r="T246" i="1"/>
  <c r="G246" i="1"/>
  <c r="F246" i="1"/>
  <c r="U245" i="1"/>
  <c r="T245" i="1"/>
  <c r="G245" i="1"/>
  <c r="F245" i="1"/>
  <c r="U244" i="1"/>
  <c r="T244" i="1"/>
  <c r="G244" i="1"/>
  <c r="F244" i="1"/>
  <c r="U243" i="1"/>
  <c r="T243" i="1"/>
  <c r="G243" i="1"/>
  <c r="F243" i="1"/>
  <c r="U242" i="1"/>
  <c r="T242" i="1"/>
  <c r="G242" i="1"/>
  <c r="F242" i="1"/>
  <c r="U241" i="1"/>
  <c r="T241" i="1"/>
  <c r="G241" i="1"/>
  <c r="F241" i="1"/>
  <c r="U240" i="1"/>
  <c r="T240" i="1"/>
  <c r="G240" i="1"/>
  <c r="F240" i="1"/>
  <c r="U239" i="1"/>
  <c r="T239" i="1"/>
  <c r="G239" i="1"/>
  <c r="F239" i="1"/>
  <c r="U238" i="1"/>
  <c r="T238" i="1"/>
  <c r="G238" i="1"/>
  <c r="F238" i="1"/>
  <c r="U237" i="1"/>
  <c r="T237" i="1"/>
  <c r="G237" i="1"/>
  <c r="F237" i="1"/>
  <c r="U236" i="1"/>
  <c r="T236" i="1"/>
  <c r="G236" i="1"/>
  <c r="F236" i="1"/>
  <c r="U235" i="1"/>
  <c r="T235" i="1"/>
  <c r="G235" i="1"/>
  <c r="F235" i="1"/>
  <c r="U234" i="1"/>
  <c r="T234" i="1"/>
  <c r="G234" i="1"/>
  <c r="F234" i="1"/>
  <c r="U233" i="1"/>
  <c r="T233" i="1"/>
  <c r="G233" i="1"/>
  <c r="F233" i="1"/>
  <c r="U232" i="1"/>
  <c r="T232" i="1"/>
  <c r="G232" i="1"/>
  <c r="F232" i="1"/>
  <c r="U231" i="1"/>
  <c r="T231" i="1"/>
  <c r="G231" i="1"/>
  <c r="F231" i="1"/>
  <c r="U230" i="1"/>
  <c r="T230" i="1"/>
  <c r="G230" i="1"/>
  <c r="F230" i="1"/>
  <c r="U229" i="1"/>
  <c r="T229" i="1"/>
  <c r="G229" i="1"/>
  <c r="F229" i="1"/>
  <c r="U228" i="1"/>
  <c r="T228" i="1"/>
  <c r="G228" i="1"/>
  <c r="F228" i="1"/>
  <c r="U227" i="1"/>
  <c r="T227" i="1"/>
  <c r="G227" i="1"/>
  <c r="F227" i="1"/>
  <c r="U226" i="1"/>
  <c r="T226" i="1"/>
  <c r="G226" i="1"/>
  <c r="F226" i="1"/>
  <c r="U225" i="1"/>
  <c r="T225" i="1"/>
  <c r="G225" i="1"/>
  <c r="F225" i="1"/>
  <c r="U224" i="1"/>
  <c r="T224" i="1"/>
  <c r="G224" i="1"/>
  <c r="F224" i="1"/>
  <c r="U223" i="1"/>
  <c r="T223" i="1"/>
  <c r="G223" i="1"/>
  <c r="F223" i="1"/>
  <c r="U222" i="1"/>
  <c r="T222" i="1"/>
  <c r="G222" i="1"/>
  <c r="F222" i="1"/>
  <c r="U221" i="1"/>
  <c r="T221" i="1"/>
  <c r="G221" i="1"/>
  <c r="F221" i="1"/>
  <c r="U220" i="1"/>
  <c r="T220" i="1"/>
  <c r="G220" i="1"/>
  <c r="F220" i="1"/>
  <c r="U219" i="1"/>
  <c r="T219" i="1"/>
  <c r="G219" i="1"/>
  <c r="F219" i="1"/>
  <c r="U218" i="1"/>
  <c r="T218" i="1"/>
  <c r="G218" i="1"/>
  <c r="F218" i="1"/>
  <c r="U217" i="1"/>
  <c r="T217" i="1"/>
  <c r="G217" i="1"/>
  <c r="F217" i="1"/>
  <c r="U216" i="1"/>
  <c r="T216" i="1"/>
  <c r="G216" i="1"/>
  <c r="F216" i="1"/>
  <c r="U215" i="1"/>
  <c r="T215" i="1"/>
  <c r="G215" i="1"/>
  <c r="F215" i="1"/>
  <c r="U214" i="1"/>
  <c r="T214" i="1"/>
  <c r="G214" i="1"/>
  <c r="F214" i="1"/>
  <c r="U213" i="1"/>
  <c r="T213" i="1"/>
  <c r="G213" i="1"/>
  <c r="F213" i="1"/>
  <c r="U212" i="1"/>
  <c r="T212" i="1"/>
  <c r="G212" i="1"/>
  <c r="F212" i="1"/>
  <c r="U211" i="1"/>
  <c r="T211" i="1"/>
  <c r="G211" i="1"/>
  <c r="F211" i="1"/>
  <c r="U210" i="1"/>
  <c r="T210" i="1"/>
  <c r="G210" i="1"/>
  <c r="F210" i="1"/>
  <c r="U209" i="1"/>
  <c r="T209" i="1"/>
  <c r="G209" i="1"/>
  <c r="F209" i="1"/>
  <c r="U208" i="1"/>
  <c r="T208" i="1"/>
  <c r="G208" i="1"/>
  <c r="F208" i="1"/>
  <c r="U207" i="1"/>
  <c r="T207" i="1"/>
  <c r="G207" i="1"/>
  <c r="F207" i="1"/>
  <c r="U206" i="1"/>
  <c r="T206" i="1"/>
  <c r="G206" i="1"/>
  <c r="F206" i="1"/>
  <c r="U205" i="1"/>
  <c r="T205" i="1"/>
  <c r="G205" i="1"/>
  <c r="F205" i="1"/>
  <c r="U204" i="1"/>
  <c r="T204" i="1"/>
  <c r="G204" i="1"/>
  <c r="F204" i="1"/>
  <c r="U203" i="1"/>
  <c r="T203" i="1"/>
  <c r="G203" i="1"/>
  <c r="F203" i="1"/>
  <c r="U202" i="1"/>
  <c r="T202" i="1"/>
  <c r="G202" i="1"/>
  <c r="F202" i="1"/>
  <c r="U201" i="1"/>
  <c r="T201" i="1"/>
  <c r="G201" i="1"/>
  <c r="F201" i="1"/>
  <c r="U200" i="1"/>
  <c r="T200" i="1"/>
  <c r="G200" i="1"/>
  <c r="F200" i="1"/>
  <c r="U199" i="1"/>
  <c r="T199" i="1"/>
  <c r="G199" i="1"/>
  <c r="F199" i="1"/>
  <c r="U198" i="1"/>
  <c r="T198" i="1"/>
  <c r="G198" i="1"/>
  <c r="F198" i="1"/>
  <c r="U197" i="1"/>
  <c r="T197" i="1"/>
  <c r="G197" i="1"/>
  <c r="F197" i="1"/>
  <c r="U196" i="1"/>
  <c r="T196" i="1"/>
  <c r="G196" i="1"/>
  <c r="F196" i="1"/>
  <c r="U195" i="1"/>
  <c r="T195" i="1"/>
  <c r="G195" i="1"/>
  <c r="F195" i="1"/>
  <c r="U194" i="1"/>
  <c r="T194" i="1"/>
  <c r="G194" i="1"/>
  <c r="F194" i="1"/>
  <c r="U193" i="1"/>
  <c r="T193" i="1"/>
  <c r="G193" i="1"/>
  <c r="F193" i="1"/>
  <c r="U192" i="1"/>
  <c r="T192" i="1"/>
  <c r="G192" i="1"/>
  <c r="F192" i="1"/>
  <c r="U191" i="1"/>
  <c r="T191" i="1"/>
  <c r="G191" i="1"/>
  <c r="F191" i="1"/>
  <c r="U190" i="1"/>
  <c r="T190" i="1"/>
  <c r="G190" i="1"/>
  <c r="F190" i="1"/>
  <c r="U189" i="1"/>
  <c r="T189" i="1"/>
  <c r="G189" i="1"/>
  <c r="F189" i="1"/>
  <c r="U188" i="1"/>
  <c r="T188" i="1"/>
  <c r="G188" i="1"/>
  <c r="F188" i="1"/>
  <c r="U187" i="1"/>
  <c r="T187" i="1"/>
  <c r="G187" i="1"/>
  <c r="F187" i="1"/>
  <c r="U186" i="1"/>
  <c r="T186" i="1"/>
  <c r="G186" i="1"/>
  <c r="F186" i="1"/>
  <c r="U185" i="1"/>
  <c r="T185" i="1"/>
  <c r="G185" i="1"/>
  <c r="F185" i="1"/>
  <c r="U184" i="1"/>
  <c r="T184" i="1"/>
  <c r="G184" i="1"/>
  <c r="F184" i="1"/>
  <c r="U183" i="1"/>
  <c r="T183" i="1"/>
  <c r="G183" i="1"/>
  <c r="F183" i="1"/>
  <c r="U182" i="1"/>
  <c r="T182" i="1"/>
  <c r="G182" i="1"/>
  <c r="F182" i="1"/>
  <c r="U181" i="1"/>
  <c r="T181" i="1"/>
  <c r="G181" i="1"/>
  <c r="F181" i="1"/>
  <c r="U180" i="1"/>
  <c r="T180" i="1"/>
  <c r="G180" i="1"/>
  <c r="F180" i="1"/>
  <c r="U179" i="1"/>
  <c r="T179" i="1"/>
  <c r="G179" i="1"/>
  <c r="F179" i="1"/>
  <c r="U178" i="1"/>
  <c r="T178" i="1"/>
  <c r="G178" i="1"/>
  <c r="F178" i="1"/>
  <c r="U177" i="1"/>
  <c r="T177" i="1"/>
  <c r="G177" i="1"/>
  <c r="F177" i="1"/>
  <c r="U176" i="1"/>
  <c r="T176" i="1"/>
  <c r="G176" i="1"/>
  <c r="F176" i="1"/>
  <c r="U175" i="1"/>
  <c r="T175" i="1"/>
  <c r="G175" i="1"/>
  <c r="F175" i="1"/>
  <c r="U174" i="1"/>
  <c r="T174" i="1"/>
  <c r="G174" i="1"/>
  <c r="F174" i="1"/>
  <c r="U173" i="1"/>
  <c r="T173" i="1"/>
  <c r="G173" i="1"/>
  <c r="F173" i="1"/>
  <c r="U172" i="1"/>
  <c r="T172" i="1"/>
  <c r="G172" i="1"/>
  <c r="F172" i="1"/>
  <c r="U171" i="1"/>
  <c r="T171" i="1"/>
  <c r="G171" i="1"/>
  <c r="F171" i="1"/>
  <c r="U170" i="1"/>
  <c r="T170" i="1"/>
  <c r="G170" i="1"/>
  <c r="F170" i="1"/>
  <c r="U169" i="1"/>
  <c r="T169" i="1"/>
  <c r="G169" i="1"/>
  <c r="F169" i="1"/>
  <c r="U168" i="1"/>
  <c r="T168" i="1"/>
  <c r="G168" i="1"/>
  <c r="F168" i="1"/>
  <c r="U167" i="1"/>
  <c r="T167" i="1"/>
  <c r="G167" i="1"/>
  <c r="F167" i="1"/>
  <c r="U166" i="1"/>
  <c r="T166" i="1"/>
  <c r="G166" i="1"/>
  <c r="F166" i="1"/>
  <c r="U165" i="1"/>
  <c r="T165" i="1"/>
  <c r="G165" i="1"/>
  <c r="F165" i="1"/>
  <c r="U164" i="1"/>
  <c r="T164" i="1"/>
  <c r="G164" i="1"/>
  <c r="F164" i="1"/>
  <c r="U163" i="1"/>
  <c r="T163" i="1"/>
  <c r="G163" i="1"/>
  <c r="F163" i="1"/>
  <c r="U162" i="1"/>
  <c r="T162" i="1"/>
  <c r="G162" i="1"/>
  <c r="F162" i="1"/>
  <c r="U161" i="1"/>
  <c r="T161" i="1"/>
  <c r="G161" i="1"/>
  <c r="F161" i="1"/>
  <c r="U160" i="1"/>
  <c r="T160" i="1"/>
  <c r="G160" i="1"/>
  <c r="F160" i="1"/>
  <c r="U159" i="1"/>
  <c r="T159" i="1"/>
  <c r="G159" i="1"/>
  <c r="F159" i="1"/>
  <c r="U158" i="1"/>
  <c r="T158" i="1"/>
  <c r="G158" i="1"/>
  <c r="F158" i="1"/>
  <c r="U157" i="1"/>
  <c r="T157" i="1"/>
  <c r="G157" i="1"/>
  <c r="F157" i="1"/>
  <c r="U156" i="1"/>
  <c r="T156" i="1"/>
  <c r="G156" i="1"/>
  <c r="F156" i="1"/>
  <c r="U155" i="1"/>
  <c r="T155" i="1"/>
  <c r="G155" i="1"/>
  <c r="F155" i="1"/>
  <c r="U154" i="1"/>
  <c r="T154" i="1"/>
  <c r="G154" i="1"/>
  <c r="F154" i="1"/>
  <c r="U153" i="1"/>
  <c r="T153" i="1"/>
  <c r="G153" i="1"/>
  <c r="F153" i="1"/>
  <c r="U152" i="1"/>
  <c r="T152" i="1"/>
  <c r="G152" i="1"/>
  <c r="F152" i="1"/>
  <c r="U151" i="1"/>
  <c r="T151" i="1"/>
  <c r="G151" i="1"/>
  <c r="F151" i="1"/>
  <c r="U150" i="1"/>
  <c r="T150" i="1"/>
  <c r="G150" i="1"/>
  <c r="F150" i="1"/>
  <c r="U149" i="1"/>
  <c r="T149" i="1"/>
  <c r="G149" i="1"/>
  <c r="F149" i="1"/>
  <c r="U148" i="1"/>
  <c r="T148" i="1"/>
  <c r="G148" i="1"/>
  <c r="F148" i="1"/>
  <c r="U147" i="1"/>
  <c r="T147" i="1"/>
  <c r="G147" i="1"/>
  <c r="F147" i="1"/>
  <c r="U146" i="1"/>
  <c r="T146" i="1"/>
  <c r="G146" i="1"/>
  <c r="F146" i="1"/>
  <c r="U145" i="1"/>
  <c r="T145" i="1"/>
  <c r="G145" i="1"/>
  <c r="F145" i="1"/>
  <c r="U144" i="1"/>
  <c r="T144" i="1"/>
  <c r="G144" i="1"/>
  <c r="F144" i="1"/>
  <c r="U143" i="1"/>
  <c r="T143" i="1"/>
  <c r="G143" i="1"/>
  <c r="F143" i="1"/>
  <c r="U142" i="1"/>
  <c r="T142" i="1"/>
  <c r="G142" i="1"/>
  <c r="F142" i="1"/>
  <c r="U141" i="1"/>
  <c r="T141" i="1"/>
  <c r="G141" i="1"/>
  <c r="F141" i="1"/>
  <c r="U140" i="1"/>
  <c r="T140" i="1"/>
  <c r="G140" i="1"/>
  <c r="F140" i="1"/>
  <c r="U139" i="1"/>
  <c r="T139" i="1"/>
  <c r="G139" i="1"/>
  <c r="F139" i="1"/>
  <c r="U138" i="1"/>
  <c r="T138" i="1"/>
  <c r="G138" i="1"/>
  <c r="F138" i="1"/>
  <c r="U137" i="1"/>
  <c r="T137" i="1"/>
  <c r="G137" i="1"/>
  <c r="F137" i="1"/>
  <c r="U136" i="1"/>
  <c r="T136" i="1"/>
  <c r="G136" i="1"/>
  <c r="F136" i="1"/>
  <c r="U135" i="1"/>
  <c r="T135" i="1"/>
  <c r="G135" i="1"/>
  <c r="F135" i="1"/>
  <c r="U134" i="1"/>
  <c r="T134" i="1"/>
  <c r="G134" i="1"/>
  <c r="F134" i="1"/>
  <c r="U133" i="1"/>
  <c r="T133" i="1"/>
  <c r="G133" i="1"/>
  <c r="F133" i="1"/>
  <c r="U132" i="1"/>
  <c r="T132" i="1"/>
  <c r="G132" i="1"/>
  <c r="F132" i="1"/>
  <c r="U131" i="1"/>
  <c r="T131" i="1"/>
  <c r="G131" i="1"/>
  <c r="F131" i="1"/>
  <c r="U130" i="1"/>
  <c r="T130" i="1"/>
  <c r="G130" i="1"/>
  <c r="F130" i="1"/>
  <c r="U129" i="1"/>
  <c r="T129" i="1"/>
  <c r="G129" i="1"/>
  <c r="F129" i="1"/>
  <c r="U128" i="1"/>
  <c r="T128" i="1"/>
  <c r="G128" i="1"/>
  <c r="F128" i="1"/>
  <c r="U127" i="1"/>
  <c r="T127" i="1"/>
  <c r="G127" i="1"/>
  <c r="F127" i="1"/>
  <c r="U126" i="1"/>
  <c r="T126" i="1"/>
  <c r="G126" i="1"/>
  <c r="F126" i="1"/>
  <c r="U125" i="1"/>
  <c r="T125" i="1"/>
  <c r="G125" i="1"/>
  <c r="F125" i="1"/>
  <c r="U124" i="1"/>
  <c r="T124" i="1"/>
  <c r="G124" i="1"/>
  <c r="F124" i="1"/>
  <c r="U123" i="1"/>
  <c r="T123" i="1"/>
  <c r="G123" i="1"/>
  <c r="F123" i="1"/>
  <c r="U122" i="1"/>
  <c r="T122" i="1"/>
  <c r="G122" i="1"/>
  <c r="F122" i="1"/>
  <c r="U121" i="1"/>
  <c r="T121" i="1"/>
  <c r="G121" i="1"/>
  <c r="F121" i="1"/>
  <c r="U120" i="1"/>
  <c r="T120" i="1"/>
  <c r="G120" i="1"/>
  <c r="F120" i="1"/>
  <c r="U119" i="1"/>
  <c r="T119" i="1"/>
  <c r="G119" i="1"/>
  <c r="F119" i="1"/>
  <c r="U118" i="1"/>
  <c r="T118" i="1"/>
  <c r="G118" i="1"/>
  <c r="F118" i="1"/>
  <c r="U117" i="1"/>
  <c r="T117" i="1"/>
  <c r="G117" i="1"/>
  <c r="F117" i="1"/>
  <c r="U116" i="1"/>
  <c r="T116" i="1"/>
  <c r="G116" i="1"/>
  <c r="F116" i="1"/>
  <c r="U115" i="1"/>
  <c r="T115" i="1"/>
  <c r="G115" i="1"/>
  <c r="F115" i="1"/>
  <c r="U114" i="1"/>
  <c r="T114" i="1"/>
  <c r="G114" i="1"/>
  <c r="F114" i="1"/>
  <c r="U113" i="1"/>
  <c r="T113" i="1"/>
  <c r="G113" i="1"/>
  <c r="F113" i="1"/>
  <c r="U112" i="1"/>
  <c r="T112" i="1"/>
  <c r="G112" i="1"/>
  <c r="F112" i="1"/>
  <c r="U111" i="1"/>
  <c r="T111" i="1"/>
  <c r="G111" i="1"/>
  <c r="F111" i="1"/>
  <c r="U110" i="1"/>
  <c r="T110" i="1"/>
  <c r="G110" i="1"/>
  <c r="F110" i="1"/>
  <c r="U109" i="1"/>
  <c r="T109" i="1"/>
  <c r="G109" i="1"/>
  <c r="F109" i="1"/>
  <c r="U108" i="1"/>
  <c r="T108" i="1"/>
  <c r="G108" i="1"/>
  <c r="F108" i="1"/>
  <c r="U107" i="1"/>
  <c r="T107" i="1"/>
  <c r="G107" i="1"/>
  <c r="F107" i="1"/>
  <c r="U106" i="1"/>
  <c r="T106" i="1"/>
  <c r="G106" i="1"/>
  <c r="F106" i="1"/>
  <c r="U105" i="1"/>
  <c r="T105" i="1"/>
  <c r="G105" i="1"/>
  <c r="F105" i="1"/>
  <c r="U104" i="1"/>
  <c r="T104" i="1"/>
  <c r="G104" i="1"/>
  <c r="F104" i="1"/>
  <c r="U103" i="1"/>
  <c r="T103" i="1"/>
  <c r="G103" i="1"/>
  <c r="F103" i="1"/>
  <c r="U102" i="1"/>
  <c r="T102" i="1"/>
  <c r="G102" i="1"/>
  <c r="F102" i="1"/>
  <c r="U101" i="1"/>
  <c r="T101" i="1"/>
  <c r="G101" i="1"/>
  <c r="F101" i="1"/>
  <c r="U100" i="1"/>
  <c r="T100" i="1"/>
  <c r="G100" i="1"/>
  <c r="F100" i="1"/>
  <c r="U99" i="1"/>
  <c r="T99" i="1"/>
  <c r="G99" i="1"/>
  <c r="F99" i="1"/>
  <c r="U98" i="1"/>
  <c r="T98" i="1"/>
  <c r="G98" i="1"/>
  <c r="F98" i="1"/>
  <c r="U97" i="1"/>
  <c r="T97" i="1"/>
  <c r="G97" i="1"/>
  <c r="F97" i="1"/>
  <c r="U96" i="1"/>
  <c r="T96" i="1"/>
  <c r="G96" i="1"/>
  <c r="F96" i="1"/>
  <c r="U95" i="1"/>
  <c r="T95" i="1"/>
  <c r="G95" i="1"/>
  <c r="F95" i="1"/>
  <c r="U94" i="1"/>
  <c r="T94" i="1"/>
  <c r="G94" i="1"/>
  <c r="F94" i="1"/>
  <c r="U93" i="1"/>
  <c r="T93" i="1"/>
  <c r="G93" i="1"/>
  <c r="F93" i="1"/>
  <c r="U92" i="1"/>
  <c r="T92" i="1"/>
  <c r="G92" i="1"/>
  <c r="F92" i="1"/>
  <c r="U91" i="1"/>
  <c r="T91" i="1"/>
  <c r="G91" i="1"/>
  <c r="F91" i="1"/>
  <c r="U90" i="1"/>
  <c r="T90" i="1"/>
  <c r="G90" i="1"/>
  <c r="F90" i="1"/>
  <c r="U89" i="1"/>
  <c r="T89" i="1"/>
  <c r="G89" i="1"/>
  <c r="F89" i="1"/>
  <c r="U88" i="1"/>
  <c r="T88" i="1"/>
  <c r="G88" i="1"/>
  <c r="F88" i="1"/>
  <c r="U87" i="1"/>
  <c r="T87" i="1"/>
  <c r="G87" i="1"/>
  <c r="F87" i="1"/>
  <c r="U86" i="1"/>
  <c r="T86" i="1"/>
  <c r="G86" i="1"/>
  <c r="F86" i="1"/>
  <c r="U85" i="1"/>
  <c r="T85" i="1"/>
  <c r="G85" i="1"/>
  <c r="F85" i="1"/>
  <c r="U84" i="1"/>
  <c r="T84" i="1"/>
  <c r="G84" i="1"/>
  <c r="F84" i="1"/>
  <c r="U83" i="1"/>
  <c r="T83" i="1"/>
  <c r="G83" i="1"/>
  <c r="F83" i="1"/>
  <c r="U82" i="1"/>
  <c r="T82" i="1"/>
  <c r="G82" i="1"/>
  <c r="F82" i="1"/>
  <c r="U80" i="1"/>
  <c r="T80" i="1"/>
  <c r="G80" i="1"/>
  <c r="F80" i="1"/>
  <c r="U79" i="1"/>
  <c r="T79" i="1"/>
  <c r="G79" i="1"/>
  <c r="F79" i="1"/>
  <c r="U78" i="1"/>
  <c r="T78" i="1"/>
  <c r="G78" i="1"/>
  <c r="F78" i="1"/>
  <c r="U77" i="1"/>
  <c r="T77" i="1"/>
  <c r="G77" i="1"/>
  <c r="F77" i="1"/>
  <c r="U76" i="1"/>
  <c r="T76" i="1"/>
  <c r="G76" i="1"/>
  <c r="F76" i="1"/>
  <c r="U75" i="1"/>
  <c r="T75" i="1"/>
  <c r="G75" i="1"/>
  <c r="F75" i="1"/>
  <c r="U74" i="1"/>
  <c r="T74" i="1"/>
  <c r="G74" i="1"/>
  <c r="F74" i="1"/>
  <c r="U73" i="1"/>
  <c r="T73" i="1"/>
  <c r="G73" i="1"/>
  <c r="F73" i="1"/>
  <c r="U72" i="1"/>
  <c r="T72" i="1"/>
  <c r="G72" i="1"/>
  <c r="F72" i="1"/>
  <c r="U71" i="1"/>
  <c r="T71" i="1"/>
  <c r="G71" i="1"/>
  <c r="F71" i="1"/>
  <c r="U70" i="1"/>
  <c r="T70" i="1"/>
  <c r="G70" i="1"/>
  <c r="F70" i="1"/>
  <c r="U69" i="1"/>
  <c r="T69" i="1"/>
  <c r="G69" i="1"/>
  <c r="F69" i="1"/>
  <c r="U68" i="1"/>
  <c r="T68" i="1"/>
  <c r="G68" i="1"/>
  <c r="F68" i="1"/>
  <c r="U67" i="1"/>
  <c r="T67" i="1"/>
  <c r="G67" i="1"/>
  <c r="F67" i="1"/>
  <c r="U66" i="1"/>
  <c r="T66" i="1"/>
  <c r="G66" i="1"/>
  <c r="F66" i="1"/>
  <c r="U65" i="1"/>
  <c r="T65" i="1"/>
  <c r="G65" i="1"/>
  <c r="F65" i="1"/>
  <c r="U64" i="1"/>
  <c r="T64" i="1"/>
  <c r="G64" i="1"/>
  <c r="F64" i="1"/>
  <c r="U63" i="1"/>
  <c r="T63" i="1"/>
  <c r="G63" i="1"/>
  <c r="F63" i="1"/>
  <c r="U62" i="1"/>
  <c r="T62" i="1"/>
  <c r="G62" i="1"/>
  <c r="F62" i="1"/>
  <c r="U61" i="1"/>
  <c r="T61" i="1"/>
  <c r="G61" i="1"/>
  <c r="F61" i="1"/>
  <c r="U60" i="1"/>
  <c r="T60" i="1"/>
  <c r="G60" i="1"/>
  <c r="F60" i="1"/>
  <c r="U59" i="1"/>
  <c r="T59" i="1"/>
  <c r="G59" i="1"/>
  <c r="F59" i="1"/>
  <c r="U58" i="1"/>
  <c r="T58" i="1"/>
  <c r="G58" i="1"/>
  <c r="F58" i="1"/>
  <c r="U57" i="1"/>
  <c r="T57" i="1"/>
  <c r="G57" i="1"/>
  <c r="F57" i="1"/>
  <c r="U56" i="1"/>
  <c r="T56" i="1"/>
  <c r="G56" i="1"/>
  <c r="F56" i="1"/>
  <c r="U55" i="1"/>
  <c r="T55" i="1"/>
  <c r="G55" i="1"/>
  <c r="F55" i="1"/>
  <c r="U54" i="1"/>
  <c r="T54" i="1"/>
  <c r="G54" i="1"/>
  <c r="F54" i="1"/>
  <c r="U53" i="1"/>
  <c r="T53" i="1"/>
  <c r="G53" i="1"/>
  <c r="F53" i="1"/>
  <c r="U52" i="1"/>
  <c r="T52" i="1"/>
  <c r="G52" i="1"/>
  <c r="F52" i="1"/>
  <c r="U51" i="1"/>
  <c r="T51" i="1"/>
  <c r="G51" i="1"/>
  <c r="F51" i="1"/>
  <c r="U50" i="1"/>
  <c r="T50" i="1"/>
  <c r="G50" i="1"/>
  <c r="F50" i="1"/>
  <c r="U49" i="1"/>
  <c r="T49" i="1"/>
  <c r="G49" i="1"/>
  <c r="F49" i="1"/>
  <c r="U48" i="1"/>
  <c r="T48" i="1"/>
  <c r="G48" i="1"/>
  <c r="F48" i="1"/>
  <c r="U47" i="1"/>
  <c r="T47" i="1"/>
  <c r="G47" i="1"/>
  <c r="F47" i="1"/>
  <c r="U46" i="1"/>
  <c r="T46" i="1"/>
  <c r="G46" i="1"/>
  <c r="F46" i="1"/>
  <c r="U45" i="1"/>
  <c r="T45" i="1"/>
  <c r="G45" i="1"/>
  <c r="F45" i="1"/>
  <c r="U44" i="1"/>
  <c r="T44" i="1"/>
  <c r="G44" i="1"/>
  <c r="F44" i="1"/>
  <c r="U43" i="1"/>
  <c r="T43" i="1"/>
  <c r="G43" i="1"/>
  <c r="F43" i="1"/>
  <c r="U42" i="1"/>
  <c r="T42" i="1"/>
  <c r="G42" i="1"/>
  <c r="F42" i="1"/>
  <c r="U41" i="1"/>
  <c r="T41" i="1"/>
  <c r="G41" i="1"/>
  <c r="F41" i="1"/>
  <c r="U40" i="1"/>
  <c r="T40" i="1"/>
  <c r="G40" i="1"/>
  <c r="F40" i="1"/>
  <c r="U39" i="1"/>
  <c r="T39" i="1"/>
  <c r="G39" i="1"/>
  <c r="F39" i="1"/>
  <c r="U38" i="1"/>
  <c r="T38" i="1"/>
  <c r="G38" i="1"/>
  <c r="F38" i="1"/>
  <c r="U37" i="1"/>
  <c r="T37" i="1"/>
  <c r="G37" i="1"/>
  <c r="F37" i="1"/>
  <c r="U36" i="1"/>
  <c r="T36" i="1"/>
  <c r="G36" i="1"/>
  <c r="F36" i="1"/>
  <c r="U35" i="1"/>
  <c r="T35" i="1"/>
  <c r="G35" i="1"/>
  <c r="F35" i="1"/>
  <c r="U34" i="1"/>
  <c r="T34" i="1"/>
  <c r="G34" i="1"/>
  <c r="F34" i="1"/>
  <c r="U33" i="1"/>
  <c r="T33" i="1"/>
  <c r="G33" i="1"/>
  <c r="F33" i="1"/>
  <c r="U32" i="1"/>
  <c r="T32" i="1"/>
  <c r="G32" i="1"/>
  <c r="F32" i="1"/>
  <c r="U31" i="1"/>
  <c r="T31" i="1"/>
  <c r="G31" i="1"/>
  <c r="F31" i="1"/>
  <c r="U30" i="1"/>
  <c r="T30" i="1"/>
  <c r="G30" i="1"/>
  <c r="F30" i="1"/>
  <c r="U29" i="1"/>
  <c r="T29" i="1"/>
  <c r="G29" i="1"/>
  <c r="F29" i="1"/>
  <c r="U28" i="1"/>
  <c r="T28" i="1"/>
  <c r="G28" i="1"/>
  <c r="F28" i="1"/>
  <c r="U27" i="1"/>
  <c r="T27" i="1"/>
  <c r="G27" i="1"/>
  <c r="F27" i="1"/>
  <c r="U26" i="1"/>
  <c r="T26" i="1"/>
  <c r="G26" i="1"/>
  <c r="F26" i="1"/>
  <c r="U25" i="1"/>
  <c r="T25" i="1"/>
  <c r="G25" i="1"/>
  <c r="F25" i="1"/>
  <c r="U24" i="1"/>
  <c r="T24" i="1"/>
  <c r="G24" i="1"/>
  <c r="F24" i="1"/>
  <c r="U23" i="1"/>
  <c r="T23" i="1"/>
  <c r="G23" i="1"/>
  <c r="F23" i="1"/>
  <c r="U22" i="1"/>
  <c r="T22" i="1"/>
  <c r="G22" i="1"/>
  <c r="F22" i="1"/>
  <c r="U21" i="1"/>
  <c r="T21" i="1"/>
  <c r="G21" i="1"/>
  <c r="F21" i="1"/>
  <c r="U20" i="1"/>
  <c r="T20" i="1"/>
  <c r="G20" i="1"/>
  <c r="F20" i="1"/>
  <c r="U19" i="1"/>
  <c r="T19" i="1"/>
  <c r="G19" i="1"/>
  <c r="F19" i="1"/>
  <c r="U18" i="1"/>
  <c r="T18" i="1"/>
  <c r="G18" i="1"/>
  <c r="F18" i="1"/>
  <c r="U17" i="1"/>
  <c r="T17" i="1"/>
  <c r="G17" i="1"/>
  <c r="F17" i="1"/>
  <c r="U16" i="1"/>
  <c r="T16" i="1"/>
  <c r="G16" i="1"/>
  <c r="F16" i="1"/>
  <c r="U15" i="1"/>
  <c r="T15" i="1"/>
  <c r="G15" i="1"/>
  <c r="F15" i="1"/>
  <c r="U14" i="1"/>
  <c r="T14" i="1"/>
  <c r="G14" i="1"/>
  <c r="F14" i="1"/>
  <c r="U13" i="1"/>
  <c r="T13" i="1"/>
  <c r="G13" i="1"/>
  <c r="F13" i="1"/>
  <c r="U12" i="1"/>
  <c r="T12" i="1"/>
  <c r="G12" i="1"/>
  <c r="F12" i="1"/>
  <c r="U11" i="1"/>
  <c r="T11" i="1"/>
  <c r="G11" i="1"/>
  <c r="F11" i="1"/>
  <c r="U10" i="1"/>
  <c r="T10" i="1"/>
  <c r="G10" i="1"/>
  <c r="F10" i="1"/>
  <c r="U9" i="1"/>
  <c r="T9" i="1"/>
  <c r="G9" i="1"/>
  <c r="F9" i="1"/>
  <c r="U8" i="1"/>
  <c r="T8" i="1"/>
  <c r="G8" i="1"/>
  <c r="F8" i="1"/>
  <c r="U7" i="1"/>
  <c r="T7" i="1"/>
  <c r="G7" i="1"/>
  <c r="F7" i="1"/>
  <c r="U1" i="1"/>
  <c r="T1" i="1"/>
  <c r="G1" i="1"/>
  <c r="F1" i="1"/>
  <c r="H458" i="18" l="1"/>
  <c r="G458" i="18"/>
  <c r="F458" i="18"/>
  <c r="E458" i="18"/>
  <c r="C458" i="18"/>
  <c r="B458" i="18"/>
  <c r="H457" i="18"/>
  <c r="G457" i="18"/>
  <c r="F457" i="18"/>
  <c r="E457" i="18"/>
  <c r="C457" i="18"/>
  <c r="B457" i="18"/>
  <c r="H456" i="18"/>
  <c r="G456" i="18"/>
  <c r="F456" i="18"/>
  <c r="E456" i="18"/>
  <c r="C456" i="18"/>
  <c r="B456" i="18"/>
  <c r="H455" i="18"/>
  <c r="G455" i="18"/>
  <c r="F455" i="18"/>
  <c r="E455" i="18"/>
  <c r="C455" i="18"/>
  <c r="B455" i="18"/>
  <c r="H453" i="18"/>
  <c r="G453" i="18"/>
  <c r="F453" i="18"/>
  <c r="E453" i="18"/>
  <c r="C453" i="18"/>
  <c r="B453" i="18"/>
  <c r="H452" i="18"/>
  <c r="G452" i="18"/>
  <c r="F452" i="18"/>
  <c r="E452" i="18"/>
  <c r="C452" i="18"/>
  <c r="O19" i="20" s="1"/>
  <c r="B452" i="18"/>
  <c r="H451" i="18"/>
  <c r="G451" i="18"/>
  <c r="F451" i="18"/>
  <c r="E451" i="18"/>
  <c r="C451" i="18"/>
  <c r="B451" i="18"/>
  <c r="H450" i="18"/>
  <c r="G450" i="18"/>
  <c r="F450" i="18"/>
  <c r="E450" i="18"/>
  <c r="C450" i="18"/>
  <c r="B450" i="18"/>
  <c r="H448" i="18"/>
  <c r="G448" i="18"/>
  <c r="F448" i="18"/>
  <c r="E448" i="18"/>
  <c r="C448" i="18"/>
  <c r="B448" i="18"/>
  <c r="H447" i="18"/>
  <c r="G447" i="18"/>
  <c r="F447" i="18"/>
  <c r="E447" i="18"/>
  <c r="C447" i="18"/>
  <c r="B447" i="18"/>
  <c r="H446" i="18"/>
  <c r="G446" i="18"/>
  <c r="F446" i="18"/>
  <c r="E446" i="18"/>
  <c r="C446" i="18"/>
  <c r="B446" i="18"/>
  <c r="H445" i="18"/>
  <c r="G445" i="18"/>
  <c r="F445" i="18"/>
  <c r="E445" i="18"/>
  <c r="D445" i="18" s="1"/>
  <c r="O40" i="20" s="1"/>
  <c r="C445" i="18"/>
  <c r="B445" i="18"/>
  <c r="H443" i="18"/>
  <c r="G443" i="18"/>
  <c r="F443" i="18"/>
  <c r="E443" i="18"/>
  <c r="C443" i="18"/>
  <c r="B443" i="18"/>
  <c r="H442" i="18"/>
  <c r="G442" i="18"/>
  <c r="F442" i="18"/>
  <c r="E442" i="18"/>
  <c r="C442" i="18"/>
  <c r="B442" i="18"/>
  <c r="H441" i="18"/>
  <c r="G441" i="18"/>
  <c r="F441" i="18"/>
  <c r="E441" i="18"/>
  <c r="C441" i="18"/>
  <c r="B441" i="18"/>
  <c r="H440" i="18"/>
  <c r="G440" i="18"/>
  <c r="F440" i="18"/>
  <c r="E440" i="18"/>
  <c r="C440" i="18"/>
  <c r="B440" i="18"/>
  <c r="H428" i="18"/>
  <c r="G428" i="18"/>
  <c r="F428" i="18"/>
  <c r="E428" i="18"/>
  <c r="C428" i="18"/>
  <c r="B428" i="18"/>
  <c r="H427" i="18"/>
  <c r="G427" i="18"/>
  <c r="F427" i="18"/>
  <c r="E427" i="18"/>
  <c r="C427" i="18"/>
  <c r="N24" i="20" s="1"/>
  <c r="B427" i="18"/>
  <c r="H426" i="18"/>
  <c r="G426" i="18"/>
  <c r="F426" i="18"/>
  <c r="E426" i="18"/>
  <c r="C426" i="18"/>
  <c r="B426" i="18"/>
  <c r="H425" i="18"/>
  <c r="G425" i="18"/>
  <c r="F425" i="18"/>
  <c r="E425" i="18"/>
  <c r="C425" i="18"/>
  <c r="B425" i="18"/>
  <c r="H423" i="18"/>
  <c r="G423" i="18"/>
  <c r="F423" i="18"/>
  <c r="E423" i="18"/>
  <c r="C423" i="18"/>
  <c r="B423" i="18"/>
  <c r="H422" i="18"/>
  <c r="G422" i="18"/>
  <c r="F422" i="18"/>
  <c r="E422" i="18"/>
  <c r="C422" i="18"/>
  <c r="B422" i="18"/>
  <c r="H421" i="18"/>
  <c r="G421" i="18"/>
  <c r="F421" i="18"/>
  <c r="E421" i="18"/>
  <c r="C421" i="18"/>
  <c r="B421" i="18"/>
  <c r="H420" i="18"/>
  <c r="G420" i="18"/>
  <c r="F420" i="18"/>
  <c r="E420" i="18"/>
  <c r="C420" i="18"/>
  <c r="B420" i="18"/>
  <c r="H418" i="18"/>
  <c r="G418" i="18"/>
  <c r="F418" i="18"/>
  <c r="E418" i="18"/>
  <c r="C418" i="18"/>
  <c r="B418" i="18"/>
  <c r="H417" i="18"/>
  <c r="G417" i="18"/>
  <c r="F417" i="18"/>
  <c r="E417" i="18"/>
  <c r="C417" i="18"/>
  <c r="B417" i="18"/>
  <c r="H416" i="18"/>
  <c r="G416" i="18"/>
  <c r="F416" i="18"/>
  <c r="E416" i="18"/>
  <c r="C416" i="18"/>
  <c r="B416" i="18"/>
  <c r="H415" i="18"/>
  <c r="G415" i="18"/>
  <c r="F415" i="18"/>
  <c r="E415" i="18"/>
  <c r="C415" i="18"/>
  <c r="B415" i="18"/>
  <c r="H413" i="18"/>
  <c r="G413" i="18"/>
  <c r="F413" i="18"/>
  <c r="E413" i="18"/>
  <c r="C413" i="18"/>
  <c r="B413" i="18"/>
  <c r="H412" i="18"/>
  <c r="G412" i="18"/>
  <c r="F412" i="18"/>
  <c r="E412" i="18"/>
  <c r="C412" i="18"/>
  <c r="B412" i="18"/>
  <c r="H411" i="18"/>
  <c r="G411" i="18"/>
  <c r="F411" i="18"/>
  <c r="E411" i="18"/>
  <c r="C411" i="18"/>
  <c r="B411" i="18"/>
  <c r="H410" i="18"/>
  <c r="G410" i="18"/>
  <c r="F410" i="18"/>
  <c r="E410" i="18"/>
  <c r="C410" i="18"/>
  <c r="B410" i="18"/>
  <c r="H398" i="18"/>
  <c r="G398" i="18"/>
  <c r="F398" i="18"/>
  <c r="E398" i="18"/>
  <c r="C398" i="18"/>
  <c r="B398" i="18"/>
  <c r="H397" i="18"/>
  <c r="G397" i="18"/>
  <c r="F397" i="18"/>
  <c r="E397" i="18"/>
  <c r="C397" i="18"/>
  <c r="B397" i="18"/>
  <c r="H396" i="18"/>
  <c r="G396" i="18"/>
  <c r="F396" i="18"/>
  <c r="E396" i="18"/>
  <c r="C396" i="18"/>
  <c r="B396" i="18"/>
  <c r="H395" i="18"/>
  <c r="G395" i="18"/>
  <c r="F395" i="18"/>
  <c r="E395" i="18"/>
  <c r="C395" i="18"/>
  <c r="B395" i="18"/>
  <c r="H393" i="18"/>
  <c r="G393" i="18"/>
  <c r="F393" i="18"/>
  <c r="E393" i="18"/>
  <c r="C393" i="18"/>
  <c r="B393" i="18"/>
  <c r="H392" i="18"/>
  <c r="G392" i="18"/>
  <c r="F392" i="18"/>
  <c r="E392" i="18"/>
  <c r="C392" i="18"/>
  <c r="B392" i="18"/>
  <c r="H391" i="18"/>
  <c r="G391" i="18"/>
  <c r="F391" i="18"/>
  <c r="E391" i="18"/>
  <c r="C391" i="18"/>
  <c r="B391" i="18"/>
  <c r="H390" i="18"/>
  <c r="G390" i="18"/>
  <c r="F390" i="18"/>
  <c r="E390" i="18"/>
  <c r="C390" i="18"/>
  <c r="B390" i="18"/>
  <c r="H388" i="18"/>
  <c r="G388" i="18"/>
  <c r="F388" i="18"/>
  <c r="E388" i="18"/>
  <c r="C388" i="18"/>
  <c r="B388" i="18"/>
  <c r="H387" i="18"/>
  <c r="G387" i="18"/>
  <c r="F387" i="18"/>
  <c r="E387" i="18"/>
  <c r="C387" i="18"/>
  <c r="B387" i="18"/>
  <c r="H386" i="18"/>
  <c r="G386" i="18"/>
  <c r="F386" i="18"/>
  <c r="E386" i="18"/>
  <c r="C386" i="18"/>
  <c r="B386" i="18"/>
  <c r="H385" i="18"/>
  <c r="G385" i="18"/>
  <c r="F385" i="18"/>
  <c r="E385" i="18"/>
  <c r="C385" i="18"/>
  <c r="B385" i="18"/>
  <c r="H383" i="18"/>
  <c r="G383" i="18"/>
  <c r="F383" i="18"/>
  <c r="E383" i="18"/>
  <c r="C383" i="18"/>
  <c r="B383" i="18"/>
  <c r="H382" i="18"/>
  <c r="G382" i="18"/>
  <c r="F382" i="18"/>
  <c r="E382" i="18"/>
  <c r="C382" i="18"/>
  <c r="B382" i="18"/>
  <c r="H381" i="18"/>
  <c r="G381" i="18"/>
  <c r="F381" i="18"/>
  <c r="E381" i="18"/>
  <c r="C381" i="18"/>
  <c r="B381" i="18"/>
  <c r="H380" i="18"/>
  <c r="G380" i="18"/>
  <c r="F380" i="18"/>
  <c r="E380" i="18"/>
  <c r="C380" i="18"/>
  <c r="B380" i="18"/>
  <c r="H367" i="18"/>
  <c r="G367" i="18"/>
  <c r="F367" i="18"/>
  <c r="E367" i="18"/>
  <c r="C367" i="18"/>
  <c r="B367" i="18"/>
  <c r="H366" i="18"/>
  <c r="G366" i="18"/>
  <c r="F366" i="18"/>
  <c r="E366" i="18"/>
  <c r="C366" i="18"/>
  <c r="B366" i="18"/>
  <c r="H365" i="18"/>
  <c r="G365" i="18"/>
  <c r="F365" i="18"/>
  <c r="E365" i="18"/>
  <c r="C365" i="18"/>
  <c r="B365" i="18"/>
  <c r="H364" i="18"/>
  <c r="G364" i="18"/>
  <c r="F364" i="18"/>
  <c r="E364" i="18"/>
  <c r="C364" i="18"/>
  <c r="B364" i="18"/>
  <c r="H362" i="18"/>
  <c r="G362" i="18"/>
  <c r="F362" i="18"/>
  <c r="E362" i="18"/>
  <c r="C362" i="18"/>
  <c r="B362" i="18"/>
  <c r="H361" i="18"/>
  <c r="G361" i="18"/>
  <c r="F361" i="18"/>
  <c r="E361" i="18"/>
  <c r="C361" i="18"/>
  <c r="B361" i="18"/>
  <c r="H360" i="18"/>
  <c r="G360" i="18"/>
  <c r="F360" i="18"/>
  <c r="E360" i="18"/>
  <c r="C360" i="18"/>
  <c r="B360" i="18"/>
  <c r="H359" i="18"/>
  <c r="G359" i="18"/>
  <c r="F359" i="18"/>
  <c r="E359" i="18"/>
  <c r="C359" i="18"/>
  <c r="B359" i="18"/>
  <c r="H357" i="18"/>
  <c r="G357" i="18"/>
  <c r="F357" i="18"/>
  <c r="E357" i="18"/>
  <c r="C357" i="18"/>
  <c r="B357" i="18"/>
  <c r="L15" i="20" s="1"/>
  <c r="H356" i="18"/>
  <c r="G356" i="18"/>
  <c r="F356" i="18"/>
  <c r="E356" i="18"/>
  <c r="C356" i="18"/>
  <c r="B356" i="18"/>
  <c r="H355" i="18"/>
  <c r="G355" i="18"/>
  <c r="F355" i="18"/>
  <c r="E355" i="18"/>
  <c r="C355" i="18"/>
  <c r="B355" i="18"/>
  <c r="H354" i="18"/>
  <c r="G354" i="18"/>
  <c r="F354" i="18"/>
  <c r="E354" i="18"/>
  <c r="C354" i="18"/>
  <c r="B354" i="18"/>
  <c r="H352" i="18"/>
  <c r="G352" i="18"/>
  <c r="F352" i="18"/>
  <c r="E352" i="18"/>
  <c r="C352" i="18"/>
  <c r="B352" i="18"/>
  <c r="H351" i="18"/>
  <c r="G351" i="18"/>
  <c r="F351" i="18"/>
  <c r="E351" i="18"/>
  <c r="C351" i="18"/>
  <c r="B351" i="18"/>
  <c r="H350" i="18"/>
  <c r="G350" i="18"/>
  <c r="F350" i="18"/>
  <c r="E350" i="18"/>
  <c r="C350" i="18"/>
  <c r="B350" i="18"/>
  <c r="H349" i="18"/>
  <c r="G349" i="18"/>
  <c r="F349" i="18"/>
  <c r="E349" i="18"/>
  <c r="C349" i="18"/>
  <c r="B349" i="18"/>
  <c r="H336" i="18"/>
  <c r="G336" i="18"/>
  <c r="F336" i="18"/>
  <c r="E336" i="18"/>
  <c r="C336" i="18"/>
  <c r="B336" i="18"/>
  <c r="H335" i="18"/>
  <c r="G335" i="18"/>
  <c r="F335" i="18"/>
  <c r="E335" i="18"/>
  <c r="C335" i="18"/>
  <c r="B335" i="18"/>
  <c r="H334" i="18"/>
  <c r="G334" i="18"/>
  <c r="F334" i="18"/>
  <c r="E334" i="18"/>
  <c r="C334" i="18"/>
  <c r="B334" i="18"/>
  <c r="H333" i="18"/>
  <c r="G333" i="18"/>
  <c r="F333" i="18"/>
  <c r="E333" i="18"/>
  <c r="C333" i="18"/>
  <c r="B333" i="18"/>
  <c r="H331" i="18"/>
  <c r="G331" i="18"/>
  <c r="F331" i="18"/>
  <c r="E331" i="18"/>
  <c r="C331" i="18"/>
  <c r="B331" i="18"/>
  <c r="H330" i="18"/>
  <c r="G330" i="18"/>
  <c r="F330" i="18"/>
  <c r="E330" i="18"/>
  <c r="C330" i="18"/>
  <c r="B330" i="18"/>
  <c r="H329" i="18"/>
  <c r="G329" i="18"/>
  <c r="F329" i="18"/>
  <c r="E329" i="18"/>
  <c r="C329" i="18"/>
  <c r="B329" i="18"/>
  <c r="H328" i="18"/>
  <c r="G328" i="18"/>
  <c r="F328" i="18"/>
  <c r="E328" i="18"/>
  <c r="C328" i="18"/>
  <c r="B328" i="18"/>
  <c r="H326" i="18"/>
  <c r="G326" i="18"/>
  <c r="F326" i="18"/>
  <c r="E326" i="18"/>
  <c r="C326" i="18"/>
  <c r="B326" i="18"/>
  <c r="H325" i="18"/>
  <c r="G325" i="18"/>
  <c r="F325" i="18"/>
  <c r="E325" i="18"/>
  <c r="C325" i="18"/>
  <c r="B325" i="18"/>
  <c r="H324" i="18"/>
  <c r="G324" i="18"/>
  <c r="F324" i="18"/>
  <c r="E324" i="18"/>
  <c r="C324" i="18"/>
  <c r="B324" i="18"/>
  <c r="H323" i="18"/>
  <c r="G323" i="18"/>
  <c r="F323" i="18"/>
  <c r="E323" i="18"/>
  <c r="C323" i="18"/>
  <c r="B323" i="18"/>
  <c r="H321" i="18"/>
  <c r="G321" i="18"/>
  <c r="F321" i="18"/>
  <c r="E321" i="18"/>
  <c r="C321" i="18"/>
  <c r="B321" i="18"/>
  <c r="K10" i="20" s="1"/>
  <c r="H320" i="18"/>
  <c r="G320" i="18"/>
  <c r="F320" i="18"/>
  <c r="E320" i="18"/>
  <c r="C320" i="18"/>
  <c r="B320" i="18"/>
  <c r="H319" i="18"/>
  <c r="G319" i="18"/>
  <c r="F319" i="18"/>
  <c r="E319" i="18"/>
  <c r="C319" i="18"/>
  <c r="B319" i="18"/>
  <c r="H318" i="18"/>
  <c r="G318" i="18"/>
  <c r="F318" i="18"/>
  <c r="E318" i="18"/>
  <c r="C318" i="18"/>
  <c r="B318" i="18"/>
  <c r="H305" i="18"/>
  <c r="G305" i="18"/>
  <c r="F305" i="18"/>
  <c r="E305" i="18"/>
  <c r="C305" i="18"/>
  <c r="B305" i="18"/>
  <c r="H304" i="18"/>
  <c r="G304" i="18"/>
  <c r="F304" i="18"/>
  <c r="E304" i="18"/>
  <c r="C304" i="18"/>
  <c r="B304" i="18"/>
  <c r="H303" i="18"/>
  <c r="G303" i="18"/>
  <c r="F303" i="18"/>
  <c r="E303" i="18"/>
  <c r="C303" i="18"/>
  <c r="B303" i="18"/>
  <c r="H302" i="18"/>
  <c r="G302" i="18"/>
  <c r="F302" i="18"/>
  <c r="E302" i="18"/>
  <c r="C302" i="18"/>
  <c r="B302" i="18"/>
  <c r="H300" i="18"/>
  <c r="G300" i="18"/>
  <c r="F300" i="18"/>
  <c r="E300" i="18"/>
  <c r="C300" i="18"/>
  <c r="B300" i="18"/>
  <c r="H299" i="18"/>
  <c r="G299" i="18"/>
  <c r="F299" i="18"/>
  <c r="E299" i="18"/>
  <c r="C299" i="18"/>
  <c r="B299" i="18"/>
  <c r="H298" i="18"/>
  <c r="G298" i="18"/>
  <c r="F298" i="18"/>
  <c r="E298" i="18"/>
  <c r="C298" i="18"/>
  <c r="B298" i="18"/>
  <c r="H297" i="18"/>
  <c r="G297" i="18"/>
  <c r="F297" i="18"/>
  <c r="E297" i="18"/>
  <c r="C297" i="18"/>
  <c r="B297" i="18"/>
  <c r="H295" i="18"/>
  <c r="G295" i="18"/>
  <c r="F295" i="18"/>
  <c r="E295" i="18"/>
  <c r="C295" i="18"/>
  <c r="B295" i="18"/>
  <c r="H294" i="18"/>
  <c r="G294" i="18"/>
  <c r="F294" i="18"/>
  <c r="E294" i="18"/>
  <c r="C294" i="18"/>
  <c r="J14" i="20" s="1"/>
  <c r="B294" i="18"/>
  <c r="H293" i="18"/>
  <c r="G293" i="18"/>
  <c r="F293" i="18"/>
  <c r="E293" i="18"/>
  <c r="C293" i="18"/>
  <c r="B293" i="18"/>
  <c r="H292" i="18"/>
  <c r="G292" i="18"/>
  <c r="F292" i="18"/>
  <c r="E292" i="18"/>
  <c r="C292" i="18"/>
  <c r="B292" i="18"/>
  <c r="H290" i="18"/>
  <c r="G290" i="18"/>
  <c r="F290" i="18"/>
  <c r="E290" i="18"/>
  <c r="C290" i="18"/>
  <c r="B290" i="18"/>
  <c r="H289" i="18"/>
  <c r="G289" i="18"/>
  <c r="F289" i="18"/>
  <c r="E289" i="18"/>
  <c r="C289" i="18"/>
  <c r="B289" i="18"/>
  <c r="H288" i="18"/>
  <c r="G288" i="18"/>
  <c r="F288" i="18"/>
  <c r="E288" i="18"/>
  <c r="C288" i="18"/>
  <c r="B288" i="18"/>
  <c r="H287" i="18"/>
  <c r="G287" i="18"/>
  <c r="F287" i="18"/>
  <c r="E287" i="18"/>
  <c r="C287" i="18"/>
  <c r="B287" i="18"/>
  <c r="H274" i="18"/>
  <c r="G274" i="18"/>
  <c r="F274" i="18"/>
  <c r="E274" i="18"/>
  <c r="C274" i="18"/>
  <c r="B274" i="18"/>
  <c r="H273" i="18"/>
  <c r="G273" i="18"/>
  <c r="F273" i="18"/>
  <c r="E273" i="18"/>
  <c r="C273" i="18"/>
  <c r="B273" i="18"/>
  <c r="H272" i="18"/>
  <c r="G272" i="18"/>
  <c r="F272" i="18"/>
  <c r="E272" i="18"/>
  <c r="C272" i="18"/>
  <c r="B272" i="18"/>
  <c r="H271" i="18"/>
  <c r="G271" i="18"/>
  <c r="F271" i="18"/>
  <c r="E271" i="18"/>
  <c r="C271" i="18"/>
  <c r="B271" i="18"/>
  <c r="H269" i="18"/>
  <c r="G269" i="18"/>
  <c r="F269" i="18"/>
  <c r="E269" i="18"/>
  <c r="C269" i="18"/>
  <c r="B269" i="18"/>
  <c r="H268" i="18"/>
  <c r="G268" i="18"/>
  <c r="F268" i="18"/>
  <c r="E268" i="18"/>
  <c r="C268" i="18"/>
  <c r="B268" i="18"/>
  <c r="H267" i="18"/>
  <c r="G267" i="18"/>
  <c r="F267" i="18"/>
  <c r="E267" i="18"/>
  <c r="C267" i="18"/>
  <c r="B267" i="18"/>
  <c r="H266" i="18"/>
  <c r="G266" i="18"/>
  <c r="F266" i="18"/>
  <c r="E266" i="18"/>
  <c r="C266" i="18"/>
  <c r="B266" i="18"/>
  <c r="H264" i="18"/>
  <c r="G264" i="18"/>
  <c r="F264" i="18"/>
  <c r="E264" i="18"/>
  <c r="C264" i="18"/>
  <c r="B264" i="18"/>
  <c r="H263" i="18"/>
  <c r="G263" i="18"/>
  <c r="F263" i="18"/>
  <c r="E263" i="18"/>
  <c r="C263" i="18"/>
  <c r="B263" i="18"/>
  <c r="H262" i="18"/>
  <c r="G262" i="18"/>
  <c r="F262" i="18"/>
  <c r="E262" i="18"/>
  <c r="C262" i="18"/>
  <c r="B262" i="18"/>
  <c r="H261" i="18"/>
  <c r="G261" i="18"/>
  <c r="F261" i="18"/>
  <c r="E261" i="18"/>
  <c r="C261" i="18"/>
  <c r="B261" i="18"/>
  <c r="H259" i="18"/>
  <c r="G259" i="18"/>
  <c r="F259" i="18"/>
  <c r="E259" i="18"/>
  <c r="C259" i="18"/>
  <c r="B259" i="18"/>
  <c r="H258" i="18"/>
  <c r="G258" i="18"/>
  <c r="F258" i="18"/>
  <c r="E258" i="18"/>
  <c r="C258" i="18"/>
  <c r="I9" i="20" s="1"/>
  <c r="B258" i="18"/>
  <c r="H257" i="18"/>
  <c r="G257" i="18"/>
  <c r="F257" i="18"/>
  <c r="E257" i="18"/>
  <c r="C257" i="18"/>
  <c r="B257" i="18"/>
  <c r="H256" i="18"/>
  <c r="G256" i="18"/>
  <c r="F256" i="18"/>
  <c r="E256" i="18"/>
  <c r="C256" i="18"/>
  <c r="B256" i="18"/>
  <c r="H243" i="18"/>
  <c r="G243" i="18"/>
  <c r="F243" i="18"/>
  <c r="E243" i="18"/>
  <c r="C243" i="18"/>
  <c r="B243" i="18"/>
  <c r="H242" i="18"/>
  <c r="G242" i="18"/>
  <c r="F242" i="18"/>
  <c r="E242" i="18"/>
  <c r="C242" i="18"/>
  <c r="B242" i="18"/>
  <c r="H241" i="18"/>
  <c r="G241" i="18"/>
  <c r="F241" i="18"/>
  <c r="E241" i="18"/>
  <c r="C241" i="18"/>
  <c r="B241" i="18"/>
  <c r="H240" i="18"/>
  <c r="G240" i="18"/>
  <c r="F240" i="18"/>
  <c r="E240" i="18"/>
  <c r="C240" i="18"/>
  <c r="B240" i="18"/>
  <c r="H238" i="18"/>
  <c r="G238" i="18"/>
  <c r="F238" i="18"/>
  <c r="E238" i="18"/>
  <c r="C238" i="18"/>
  <c r="B238" i="18"/>
  <c r="H237" i="18"/>
  <c r="G237" i="18"/>
  <c r="F237" i="18"/>
  <c r="E237" i="18"/>
  <c r="C237" i="18"/>
  <c r="B237" i="18"/>
  <c r="H236" i="18"/>
  <c r="G236" i="18"/>
  <c r="F236" i="18"/>
  <c r="E236" i="18"/>
  <c r="C236" i="18"/>
  <c r="B236" i="18"/>
  <c r="H235" i="18"/>
  <c r="G235" i="18"/>
  <c r="F235" i="18"/>
  <c r="E235" i="18"/>
  <c r="C235" i="18"/>
  <c r="B235" i="18"/>
  <c r="H233" i="18"/>
  <c r="G233" i="18"/>
  <c r="F233" i="18"/>
  <c r="E233" i="18"/>
  <c r="C233" i="18"/>
  <c r="B233" i="18"/>
  <c r="H232" i="18"/>
  <c r="G232" i="18"/>
  <c r="F232" i="18"/>
  <c r="E232" i="18"/>
  <c r="C232" i="18"/>
  <c r="B232" i="18"/>
  <c r="H231" i="18"/>
  <c r="G231" i="18"/>
  <c r="F231" i="18"/>
  <c r="E231" i="18"/>
  <c r="C231" i="18"/>
  <c r="B231" i="18"/>
  <c r="H230" i="18"/>
  <c r="G230" i="18"/>
  <c r="F230" i="18"/>
  <c r="E230" i="18"/>
  <c r="C230" i="18"/>
  <c r="B230" i="18"/>
  <c r="H228" i="18"/>
  <c r="G228" i="18"/>
  <c r="F228" i="18"/>
  <c r="E228" i="18"/>
  <c r="C228" i="18"/>
  <c r="B228" i="18"/>
  <c r="H227" i="18"/>
  <c r="G227" i="18"/>
  <c r="F227" i="18"/>
  <c r="E227" i="18"/>
  <c r="C227" i="18"/>
  <c r="B227" i="18"/>
  <c r="H226" i="18"/>
  <c r="G226" i="18"/>
  <c r="F226" i="18"/>
  <c r="E226" i="18"/>
  <c r="C226" i="18"/>
  <c r="M8" i="20" s="1"/>
  <c r="B226" i="18"/>
  <c r="H225" i="18"/>
  <c r="G225" i="18"/>
  <c r="F225" i="18"/>
  <c r="E225" i="18"/>
  <c r="C225" i="18"/>
  <c r="B225" i="18"/>
  <c r="P212" i="18"/>
  <c r="O212" i="18"/>
  <c r="N212" i="18"/>
  <c r="M212" i="18"/>
  <c r="K212" i="18"/>
  <c r="J212" i="18"/>
  <c r="H212" i="18"/>
  <c r="G212" i="18"/>
  <c r="F212" i="18"/>
  <c r="E212" i="18"/>
  <c r="C212" i="18"/>
  <c r="B212" i="18"/>
  <c r="P211" i="18"/>
  <c r="O211" i="18"/>
  <c r="N211" i="18"/>
  <c r="M211" i="18"/>
  <c r="K211" i="18"/>
  <c r="J211" i="18"/>
  <c r="H211" i="18"/>
  <c r="G211" i="18"/>
  <c r="F211" i="18"/>
  <c r="E211" i="18"/>
  <c r="C211" i="18"/>
  <c r="B211" i="18"/>
  <c r="P210" i="18"/>
  <c r="O210" i="18"/>
  <c r="N210" i="18"/>
  <c r="M210" i="18"/>
  <c r="K210" i="18"/>
  <c r="J210" i="18"/>
  <c r="H210" i="18"/>
  <c r="G210" i="18"/>
  <c r="F210" i="18"/>
  <c r="E210" i="18"/>
  <c r="C210" i="18"/>
  <c r="B210" i="18"/>
  <c r="P209" i="18"/>
  <c r="O209" i="18"/>
  <c r="N209" i="18"/>
  <c r="M209" i="18"/>
  <c r="K209" i="18"/>
  <c r="J209" i="18"/>
  <c r="H209" i="18"/>
  <c r="G209" i="18"/>
  <c r="F209" i="18"/>
  <c r="E209" i="18"/>
  <c r="C209" i="18"/>
  <c r="B209" i="18"/>
  <c r="P207" i="18"/>
  <c r="O207" i="18"/>
  <c r="N207" i="18"/>
  <c r="M207" i="18"/>
  <c r="K207" i="18"/>
  <c r="J207" i="18"/>
  <c r="H207" i="18"/>
  <c r="G207" i="18"/>
  <c r="F207" i="18"/>
  <c r="E207" i="18"/>
  <c r="C207" i="18"/>
  <c r="B207" i="18"/>
  <c r="P206" i="18"/>
  <c r="O206" i="18"/>
  <c r="N206" i="18"/>
  <c r="M206" i="18"/>
  <c r="K206" i="18"/>
  <c r="J206" i="18"/>
  <c r="H206" i="18"/>
  <c r="G206" i="18"/>
  <c r="F206" i="18"/>
  <c r="E206" i="18"/>
  <c r="C206" i="18"/>
  <c r="B206" i="18"/>
  <c r="P205" i="18"/>
  <c r="O205" i="18"/>
  <c r="N205" i="18"/>
  <c r="M205" i="18"/>
  <c r="K205" i="18"/>
  <c r="J205" i="18"/>
  <c r="H205" i="18"/>
  <c r="G205" i="18"/>
  <c r="F205" i="18"/>
  <c r="E205" i="18"/>
  <c r="C205" i="18"/>
  <c r="B205" i="18"/>
  <c r="P204" i="18"/>
  <c r="O204" i="18"/>
  <c r="N204" i="18"/>
  <c r="M204" i="18"/>
  <c r="K204" i="18"/>
  <c r="J204" i="18"/>
  <c r="H204" i="18"/>
  <c r="G204" i="18"/>
  <c r="F204" i="18"/>
  <c r="E204" i="18"/>
  <c r="C204" i="18"/>
  <c r="B204" i="18"/>
  <c r="P202" i="18"/>
  <c r="O202" i="18"/>
  <c r="N202" i="18"/>
  <c r="M202" i="18"/>
  <c r="K202" i="18"/>
  <c r="J202" i="18"/>
  <c r="H202" i="18"/>
  <c r="G202" i="18"/>
  <c r="F202" i="18"/>
  <c r="E202" i="18"/>
  <c r="C202" i="18"/>
  <c r="B202" i="18"/>
  <c r="P201" i="18"/>
  <c r="O201" i="18"/>
  <c r="N201" i="18"/>
  <c r="M201" i="18"/>
  <c r="K201" i="18"/>
  <c r="J201" i="18"/>
  <c r="H201" i="18"/>
  <c r="G201" i="18"/>
  <c r="F201" i="18"/>
  <c r="E201" i="18"/>
  <c r="C201" i="18"/>
  <c r="B201" i="18"/>
  <c r="P200" i="18"/>
  <c r="O200" i="18"/>
  <c r="N200" i="18"/>
  <c r="M200" i="18"/>
  <c r="K200" i="18"/>
  <c r="J200" i="18"/>
  <c r="H200" i="18"/>
  <c r="G200" i="18"/>
  <c r="F200" i="18"/>
  <c r="E200" i="18"/>
  <c r="C200" i="18"/>
  <c r="B200" i="18"/>
  <c r="P199" i="18"/>
  <c r="O199" i="18"/>
  <c r="N199" i="18"/>
  <c r="M199" i="18"/>
  <c r="K199" i="18"/>
  <c r="J199" i="18"/>
  <c r="H199" i="18"/>
  <c r="G199" i="18"/>
  <c r="F199" i="18"/>
  <c r="E199" i="18"/>
  <c r="C199" i="18"/>
  <c r="B199" i="18"/>
  <c r="P197" i="18"/>
  <c r="O197" i="18"/>
  <c r="N197" i="18"/>
  <c r="M197" i="18"/>
  <c r="K197" i="18"/>
  <c r="J197" i="18"/>
  <c r="H197" i="18"/>
  <c r="G197" i="18"/>
  <c r="F197" i="18"/>
  <c r="E197" i="18"/>
  <c r="C197" i="18"/>
  <c r="B197" i="18"/>
  <c r="P196" i="18"/>
  <c r="O196" i="18"/>
  <c r="N196" i="18"/>
  <c r="M196" i="18"/>
  <c r="K196" i="18"/>
  <c r="J196" i="18"/>
  <c r="H196" i="18"/>
  <c r="G196" i="18"/>
  <c r="F196" i="18"/>
  <c r="E196" i="18"/>
  <c r="C196" i="18"/>
  <c r="B196" i="18"/>
  <c r="P195" i="18"/>
  <c r="O195" i="18"/>
  <c r="N195" i="18"/>
  <c r="M195" i="18"/>
  <c r="K195" i="18"/>
  <c r="J195" i="18"/>
  <c r="H195" i="18"/>
  <c r="G195" i="18"/>
  <c r="F195" i="18"/>
  <c r="E195" i="18"/>
  <c r="C195" i="18"/>
  <c r="B195" i="18"/>
  <c r="P194" i="18"/>
  <c r="O194" i="18"/>
  <c r="N194" i="18"/>
  <c r="M194" i="18"/>
  <c r="K194" i="18"/>
  <c r="J194" i="18"/>
  <c r="H194" i="18"/>
  <c r="G194" i="18"/>
  <c r="F194" i="18"/>
  <c r="E194" i="18"/>
  <c r="C194" i="18"/>
  <c r="B194" i="18"/>
  <c r="P182" i="18"/>
  <c r="O182" i="18"/>
  <c r="N182" i="18"/>
  <c r="M182" i="18"/>
  <c r="K182" i="18"/>
  <c r="J182" i="18"/>
  <c r="H182" i="18"/>
  <c r="G182" i="18"/>
  <c r="F182" i="18"/>
  <c r="E182" i="18"/>
  <c r="C182" i="18"/>
  <c r="B182" i="18"/>
  <c r="P181" i="18"/>
  <c r="O181" i="18"/>
  <c r="N181" i="18"/>
  <c r="M181" i="18"/>
  <c r="K181" i="18"/>
  <c r="J181" i="18"/>
  <c r="H181" i="18"/>
  <c r="G181" i="18"/>
  <c r="F181" i="18"/>
  <c r="E181" i="18"/>
  <c r="C181" i="18"/>
  <c r="B181" i="18"/>
  <c r="P180" i="18"/>
  <c r="O180" i="18"/>
  <c r="N180" i="18"/>
  <c r="M180" i="18"/>
  <c r="K180" i="18"/>
  <c r="J180" i="18"/>
  <c r="H180" i="18"/>
  <c r="G180" i="18"/>
  <c r="F180" i="18"/>
  <c r="E180" i="18"/>
  <c r="C180" i="18"/>
  <c r="F23" i="20" s="1"/>
  <c r="B180" i="18"/>
  <c r="P179" i="18"/>
  <c r="O179" i="18"/>
  <c r="N179" i="18"/>
  <c r="M179" i="18"/>
  <c r="K179" i="18"/>
  <c r="J179" i="18"/>
  <c r="H179" i="18"/>
  <c r="G179" i="18"/>
  <c r="F179" i="18"/>
  <c r="E179" i="18"/>
  <c r="C179" i="18"/>
  <c r="B179" i="18"/>
  <c r="P177" i="18"/>
  <c r="O177" i="18"/>
  <c r="N177" i="18"/>
  <c r="M177" i="18"/>
  <c r="K177" i="18"/>
  <c r="J177" i="18"/>
  <c r="H177" i="18"/>
  <c r="G177" i="18"/>
  <c r="F177" i="18"/>
  <c r="E177" i="18"/>
  <c r="C177" i="18"/>
  <c r="B177" i="18"/>
  <c r="P176" i="18"/>
  <c r="O176" i="18"/>
  <c r="N176" i="18"/>
  <c r="M176" i="18"/>
  <c r="K176" i="18"/>
  <c r="J176" i="18"/>
  <c r="H176" i="18"/>
  <c r="G176" i="18"/>
  <c r="F176" i="18"/>
  <c r="E176" i="18"/>
  <c r="C176" i="18"/>
  <c r="B176" i="18"/>
  <c r="P175" i="18"/>
  <c r="O175" i="18"/>
  <c r="N175" i="18"/>
  <c r="M175" i="18"/>
  <c r="K175" i="18"/>
  <c r="J175" i="18"/>
  <c r="H175" i="18"/>
  <c r="G175" i="18"/>
  <c r="F175" i="18"/>
  <c r="E175" i="18"/>
  <c r="C175" i="18"/>
  <c r="B175" i="18"/>
  <c r="P174" i="18"/>
  <c r="O174" i="18"/>
  <c r="N174" i="18"/>
  <c r="M174" i="18"/>
  <c r="K174" i="18"/>
  <c r="J174" i="18"/>
  <c r="H174" i="18"/>
  <c r="G174" i="18"/>
  <c r="F174" i="18"/>
  <c r="E174" i="18"/>
  <c r="C174" i="18"/>
  <c r="B174" i="18"/>
  <c r="P172" i="18"/>
  <c r="O172" i="18"/>
  <c r="N172" i="18"/>
  <c r="M172" i="18"/>
  <c r="K172" i="18"/>
  <c r="J172" i="18"/>
  <c r="H172" i="18"/>
  <c r="G172" i="18"/>
  <c r="F172" i="18"/>
  <c r="E172" i="18"/>
  <c r="C172" i="18"/>
  <c r="B172" i="18"/>
  <c r="P171" i="18"/>
  <c r="O171" i="18"/>
  <c r="N171" i="18"/>
  <c r="M171" i="18"/>
  <c r="K171" i="18"/>
  <c r="J171" i="18"/>
  <c r="H171" i="18"/>
  <c r="G171" i="18"/>
  <c r="F171" i="18"/>
  <c r="E171" i="18"/>
  <c r="C171" i="18"/>
  <c r="B171" i="18"/>
  <c r="P170" i="18"/>
  <c r="O170" i="18"/>
  <c r="N170" i="18"/>
  <c r="M170" i="18"/>
  <c r="K170" i="18"/>
  <c r="J170" i="18"/>
  <c r="H170" i="18"/>
  <c r="G170" i="18"/>
  <c r="F170" i="18"/>
  <c r="E170" i="18"/>
  <c r="C170" i="18"/>
  <c r="B170" i="18"/>
  <c r="P169" i="18"/>
  <c r="O169" i="18"/>
  <c r="N169" i="18"/>
  <c r="M169" i="18"/>
  <c r="K169" i="18"/>
  <c r="J169" i="18"/>
  <c r="H169" i="18"/>
  <c r="G169" i="18"/>
  <c r="F169" i="18"/>
  <c r="E169" i="18"/>
  <c r="C169" i="18"/>
  <c r="B169" i="18"/>
  <c r="P167" i="18"/>
  <c r="O167" i="18"/>
  <c r="N167" i="18"/>
  <c r="M167" i="18"/>
  <c r="K167" i="18"/>
  <c r="J167" i="18"/>
  <c r="H167" i="18"/>
  <c r="G167" i="18"/>
  <c r="F167" i="18"/>
  <c r="E167" i="18"/>
  <c r="C167" i="18"/>
  <c r="F10" i="20" s="1"/>
  <c r="B167" i="18"/>
  <c r="P166" i="18"/>
  <c r="O166" i="18"/>
  <c r="N166" i="18"/>
  <c r="M166" i="18"/>
  <c r="K166" i="18"/>
  <c r="J166" i="18"/>
  <c r="H166" i="18"/>
  <c r="G166" i="18"/>
  <c r="F166" i="18"/>
  <c r="E166" i="18"/>
  <c r="C166" i="18"/>
  <c r="B166" i="18"/>
  <c r="P165" i="18"/>
  <c r="O165" i="18"/>
  <c r="N165" i="18"/>
  <c r="M165" i="18"/>
  <c r="K165" i="18"/>
  <c r="J165" i="18"/>
  <c r="H165" i="18"/>
  <c r="G165" i="18"/>
  <c r="F165" i="18"/>
  <c r="E165" i="18"/>
  <c r="C165" i="18"/>
  <c r="B165" i="18"/>
  <c r="P164" i="18"/>
  <c r="O164" i="18"/>
  <c r="N164" i="18"/>
  <c r="M164" i="18"/>
  <c r="K164" i="18"/>
  <c r="J164" i="18"/>
  <c r="H164" i="18"/>
  <c r="G164" i="18"/>
  <c r="F164" i="18"/>
  <c r="E164" i="18"/>
  <c r="C164" i="18"/>
  <c r="B164" i="18"/>
  <c r="P151" i="18"/>
  <c r="O151" i="18"/>
  <c r="N151" i="18"/>
  <c r="M151" i="18"/>
  <c r="K151" i="18"/>
  <c r="J151" i="18"/>
  <c r="H151" i="18"/>
  <c r="G151" i="18"/>
  <c r="F151" i="18"/>
  <c r="E151" i="18"/>
  <c r="C151" i="18"/>
  <c r="B151" i="18"/>
  <c r="P150" i="18"/>
  <c r="O150" i="18"/>
  <c r="N150" i="18"/>
  <c r="M150" i="18"/>
  <c r="K150" i="18"/>
  <c r="J150" i="18"/>
  <c r="H150" i="18"/>
  <c r="G150" i="18"/>
  <c r="F150" i="18"/>
  <c r="E150" i="18"/>
  <c r="C150" i="18"/>
  <c r="B150" i="18"/>
  <c r="E24" i="20" s="1"/>
  <c r="P149" i="18"/>
  <c r="O149" i="18"/>
  <c r="N149" i="18"/>
  <c r="M149" i="18"/>
  <c r="K149" i="18"/>
  <c r="J149" i="18"/>
  <c r="H149" i="18"/>
  <c r="G149" i="18"/>
  <c r="F149" i="18"/>
  <c r="E149" i="18"/>
  <c r="C149" i="18"/>
  <c r="B149" i="18"/>
  <c r="P148" i="18"/>
  <c r="O148" i="18"/>
  <c r="N148" i="18"/>
  <c r="M148" i="18"/>
  <c r="K148" i="18"/>
  <c r="J148" i="18"/>
  <c r="H148" i="18"/>
  <c r="G148" i="18"/>
  <c r="F148" i="18"/>
  <c r="E148" i="18"/>
  <c r="C148" i="18"/>
  <c r="B148" i="18"/>
  <c r="E22" i="20" s="1"/>
  <c r="P146" i="18"/>
  <c r="O146" i="18"/>
  <c r="N146" i="18"/>
  <c r="M146" i="18"/>
  <c r="K146" i="18"/>
  <c r="J146" i="18"/>
  <c r="H146" i="18"/>
  <c r="G146" i="18"/>
  <c r="F146" i="18"/>
  <c r="E146" i="18"/>
  <c r="C146" i="18"/>
  <c r="B146" i="18"/>
  <c r="P145" i="18"/>
  <c r="O145" i="18"/>
  <c r="N145" i="18"/>
  <c r="M145" i="18"/>
  <c r="K145" i="18"/>
  <c r="J145" i="18"/>
  <c r="H145" i="18"/>
  <c r="G145" i="18"/>
  <c r="F145" i="18"/>
  <c r="E145" i="18"/>
  <c r="C145" i="18"/>
  <c r="B145" i="18"/>
  <c r="E19" i="20" s="1"/>
  <c r="P144" i="18"/>
  <c r="O144" i="18"/>
  <c r="N144" i="18"/>
  <c r="M144" i="18"/>
  <c r="K144" i="18"/>
  <c r="J144" i="18"/>
  <c r="H144" i="18"/>
  <c r="G144" i="18"/>
  <c r="F144" i="18"/>
  <c r="E144" i="18"/>
  <c r="C144" i="18"/>
  <c r="E18" i="20" s="1"/>
  <c r="B144" i="18"/>
  <c r="P143" i="18"/>
  <c r="O143" i="18"/>
  <c r="N143" i="18"/>
  <c r="M143" i="18"/>
  <c r="K143" i="18"/>
  <c r="J143" i="18"/>
  <c r="H143" i="18"/>
  <c r="G143" i="18"/>
  <c r="F143" i="18"/>
  <c r="E143" i="18"/>
  <c r="C143" i="18"/>
  <c r="B143" i="18"/>
  <c r="E17" i="20" s="1"/>
  <c r="P141" i="18"/>
  <c r="O141" i="18"/>
  <c r="N141" i="18"/>
  <c r="M141" i="18"/>
  <c r="K141" i="18"/>
  <c r="J141" i="18"/>
  <c r="H141" i="18"/>
  <c r="G141" i="18"/>
  <c r="F141" i="18"/>
  <c r="E141" i="18"/>
  <c r="C141" i="18"/>
  <c r="B141" i="18"/>
  <c r="P140" i="18"/>
  <c r="O140" i="18"/>
  <c r="N140" i="18"/>
  <c r="M140" i="18"/>
  <c r="K140" i="18"/>
  <c r="J140" i="18"/>
  <c r="H140" i="18"/>
  <c r="G140" i="18"/>
  <c r="F140" i="18"/>
  <c r="E140" i="18"/>
  <c r="C140" i="18"/>
  <c r="B140" i="18"/>
  <c r="P139" i="18"/>
  <c r="O139" i="18"/>
  <c r="N139" i="18"/>
  <c r="M139" i="18"/>
  <c r="K139" i="18"/>
  <c r="J139" i="18"/>
  <c r="H139" i="18"/>
  <c r="G139" i="18"/>
  <c r="F139" i="18"/>
  <c r="E139" i="18"/>
  <c r="C139" i="18"/>
  <c r="B139" i="18"/>
  <c r="P138" i="18"/>
  <c r="O138" i="18"/>
  <c r="N138" i="18"/>
  <c r="M138" i="18"/>
  <c r="K138" i="18"/>
  <c r="J138" i="18"/>
  <c r="H138" i="18"/>
  <c r="G138" i="18"/>
  <c r="F138" i="18"/>
  <c r="E138" i="18"/>
  <c r="C138" i="18"/>
  <c r="B138" i="18"/>
  <c r="E12" i="20" s="1"/>
  <c r="P136" i="18"/>
  <c r="O136" i="18"/>
  <c r="N136" i="18"/>
  <c r="M136" i="18"/>
  <c r="K136" i="18"/>
  <c r="J136" i="18"/>
  <c r="H136" i="18"/>
  <c r="G136" i="18"/>
  <c r="F136" i="18"/>
  <c r="E136" i="18"/>
  <c r="C136" i="18"/>
  <c r="B136" i="18"/>
  <c r="P135" i="18"/>
  <c r="O135" i="18"/>
  <c r="N135" i="18"/>
  <c r="M135" i="18"/>
  <c r="K135" i="18"/>
  <c r="J135" i="18"/>
  <c r="H135" i="18"/>
  <c r="G135" i="18"/>
  <c r="F135" i="18"/>
  <c r="E135" i="18"/>
  <c r="C135" i="18"/>
  <c r="B135" i="18"/>
  <c r="E9" i="20" s="1"/>
  <c r="P134" i="18"/>
  <c r="O134" i="18"/>
  <c r="N134" i="18"/>
  <c r="M134" i="18"/>
  <c r="K134" i="18"/>
  <c r="J134" i="18"/>
  <c r="H134" i="18"/>
  <c r="G134" i="18"/>
  <c r="F134" i="18"/>
  <c r="E134" i="18"/>
  <c r="C134" i="18"/>
  <c r="E8" i="20" s="1"/>
  <c r="B134" i="18"/>
  <c r="P133" i="18"/>
  <c r="O133" i="18"/>
  <c r="N133" i="18"/>
  <c r="M133" i="18"/>
  <c r="K133" i="18"/>
  <c r="J133" i="18"/>
  <c r="H133" i="18"/>
  <c r="G133" i="18"/>
  <c r="F133" i="18"/>
  <c r="E133" i="18"/>
  <c r="C133" i="18"/>
  <c r="B133" i="18"/>
  <c r="E7" i="20" s="1"/>
  <c r="P120" i="18"/>
  <c r="O120" i="18"/>
  <c r="N120" i="18"/>
  <c r="M120" i="18"/>
  <c r="K120" i="18"/>
  <c r="J120" i="18"/>
  <c r="H120" i="18"/>
  <c r="G120" i="18"/>
  <c r="F120" i="18"/>
  <c r="E120" i="18"/>
  <c r="C120" i="18"/>
  <c r="B120" i="18"/>
  <c r="P119" i="18"/>
  <c r="O119" i="18"/>
  <c r="N119" i="18"/>
  <c r="M119" i="18"/>
  <c r="K119" i="18"/>
  <c r="J119" i="18"/>
  <c r="H119" i="18"/>
  <c r="G119" i="18"/>
  <c r="F119" i="18"/>
  <c r="E119" i="18"/>
  <c r="C119" i="18"/>
  <c r="B119" i="18"/>
  <c r="D24" i="20" s="1"/>
  <c r="P118" i="18"/>
  <c r="O118" i="18"/>
  <c r="N118" i="18"/>
  <c r="M118" i="18"/>
  <c r="K118" i="18"/>
  <c r="J118" i="18"/>
  <c r="H118" i="18"/>
  <c r="G118" i="18"/>
  <c r="F118" i="18"/>
  <c r="E118" i="18"/>
  <c r="C118" i="18"/>
  <c r="B118" i="18"/>
  <c r="P117" i="18"/>
  <c r="O117" i="18"/>
  <c r="N117" i="18"/>
  <c r="M117" i="18"/>
  <c r="K117" i="18"/>
  <c r="J117" i="18"/>
  <c r="H117" i="18"/>
  <c r="G117" i="18"/>
  <c r="F117" i="18"/>
  <c r="E117" i="18"/>
  <c r="C117" i="18"/>
  <c r="B117" i="18"/>
  <c r="D22" i="20" s="1"/>
  <c r="P115" i="18"/>
  <c r="O115" i="18"/>
  <c r="N115" i="18"/>
  <c r="M115" i="18"/>
  <c r="K115" i="18"/>
  <c r="J115" i="18"/>
  <c r="H115" i="18"/>
  <c r="G115" i="18"/>
  <c r="F115" i="18"/>
  <c r="E115" i="18"/>
  <c r="C115" i="18"/>
  <c r="B115" i="18"/>
  <c r="P114" i="18"/>
  <c r="O114" i="18"/>
  <c r="N114" i="18"/>
  <c r="M114" i="18"/>
  <c r="K114" i="18"/>
  <c r="J114" i="18"/>
  <c r="H114" i="18"/>
  <c r="G114" i="18"/>
  <c r="F114" i="18"/>
  <c r="E114" i="18"/>
  <c r="C114" i="18"/>
  <c r="B114" i="18"/>
  <c r="D19" i="20" s="1"/>
  <c r="P113" i="18"/>
  <c r="O113" i="18"/>
  <c r="N113" i="18"/>
  <c r="M113" i="18"/>
  <c r="K113" i="18"/>
  <c r="J113" i="18"/>
  <c r="H113" i="18"/>
  <c r="G113" i="18"/>
  <c r="F113" i="18"/>
  <c r="E113" i="18"/>
  <c r="C113" i="18"/>
  <c r="B113" i="18"/>
  <c r="P112" i="18"/>
  <c r="O112" i="18"/>
  <c r="N112" i="18"/>
  <c r="M112" i="18"/>
  <c r="K112" i="18"/>
  <c r="J112" i="18"/>
  <c r="H112" i="18"/>
  <c r="G112" i="18"/>
  <c r="F112" i="18"/>
  <c r="E112" i="18"/>
  <c r="C112" i="18"/>
  <c r="B112" i="18"/>
  <c r="P110" i="18"/>
  <c r="O110" i="18"/>
  <c r="N110" i="18"/>
  <c r="M110" i="18"/>
  <c r="K110" i="18"/>
  <c r="J110" i="18"/>
  <c r="H110" i="18"/>
  <c r="G110" i="18"/>
  <c r="F110" i="18"/>
  <c r="E110" i="18"/>
  <c r="C110" i="18"/>
  <c r="B110" i="18"/>
  <c r="P109" i="18"/>
  <c r="O109" i="18"/>
  <c r="N109" i="18"/>
  <c r="M109" i="18"/>
  <c r="K109" i="18"/>
  <c r="J109" i="18"/>
  <c r="H109" i="18"/>
  <c r="G109" i="18"/>
  <c r="F109" i="18"/>
  <c r="E109" i="18"/>
  <c r="C109" i="18"/>
  <c r="B109" i="18"/>
  <c r="D14" i="20" s="1"/>
  <c r="P108" i="18"/>
  <c r="O108" i="18"/>
  <c r="N108" i="18"/>
  <c r="M108" i="18"/>
  <c r="K108" i="18"/>
  <c r="J108" i="18"/>
  <c r="H108" i="18"/>
  <c r="G108" i="18"/>
  <c r="F108" i="18"/>
  <c r="E108" i="18"/>
  <c r="C108" i="18"/>
  <c r="D13" i="20" s="1"/>
  <c r="B108" i="18"/>
  <c r="P107" i="18"/>
  <c r="O107" i="18"/>
  <c r="N107" i="18"/>
  <c r="M107" i="18"/>
  <c r="K107" i="18"/>
  <c r="J107" i="18"/>
  <c r="H107" i="18"/>
  <c r="G107" i="18"/>
  <c r="F107" i="18"/>
  <c r="E107" i="18"/>
  <c r="C107" i="18"/>
  <c r="B107" i="18"/>
  <c r="D12" i="20" s="1"/>
  <c r="P105" i="18"/>
  <c r="O105" i="18"/>
  <c r="N105" i="18"/>
  <c r="M105" i="18"/>
  <c r="K105" i="18"/>
  <c r="J105" i="18"/>
  <c r="H105" i="18"/>
  <c r="G105" i="18"/>
  <c r="F105" i="18"/>
  <c r="E105" i="18"/>
  <c r="C105" i="18"/>
  <c r="B105" i="18"/>
  <c r="P104" i="18"/>
  <c r="O104" i="18"/>
  <c r="N104" i="18"/>
  <c r="M104" i="18"/>
  <c r="K104" i="18"/>
  <c r="J104" i="18"/>
  <c r="H104" i="18"/>
  <c r="G104" i="18"/>
  <c r="F104" i="18"/>
  <c r="E104" i="18"/>
  <c r="C104" i="18"/>
  <c r="B104" i="18"/>
  <c r="P103" i="18"/>
  <c r="O103" i="18"/>
  <c r="N103" i="18"/>
  <c r="M103" i="18"/>
  <c r="K103" i="18"/>
  <c r="J103" i="18"/>
  <c r="H103" i="18"/>
  <c r="G103" i="18"/>
  <c r="F103" i="18"/>
  <c r="E103" i="18"/>
  <c r="C103" i="18"/>
  <c r="B103" i="18"/>
  <c r="P102" i="18"/>
  <c r="O102" i="18"/>
  <c r="N102" i="18"/>
  <c r="M102" i="18"/>
  <c r="K102" i="18"/>
  <c r="J102" i="18"/>
  <c r="H102" i="18"/>
  <c r="G102" i="18"/>
  <c r="F102" i="18"/>
  <c r="E102" i="18"/>
  <c r="C102" i="18"/>
  <c r="B102" i="18"/>
  <c r="D7" i="20" s="1"/>
  <c r="P90" i="18"/>
  <c r="O90" i="18"/>
  <c r="N90" i="18"/>
  <c r="M90" i="18"/>
  <c r="K90" i="18"/>
  <c r="J90" i="18"/>
  <c r="H90" i="18"/>
  <c r="G90" i="18"/>
  <c r="F90" i="18"/>
  <c r="E90" i="18"/>
  <c r="C90" i="18"/>
  <c r="B90" i="18"/>
  <c r="P89" i="18"/>
  <c r="O89" i="18"/>
  <c r="N89" i="18"/>
  <c r="M89" i="18"/>
  <c r="K89" i="18"/>
  <c r="J89" i="18"/>
  <c r="H89" i="18"/>
  <c r="G89" i="18"/>
  <c r="F89" i="18"/>
  <c r="E89" i="18"/>
  <c r="C89" i="18"/>
  <c r="B89" i="18"/>
  <c r="C24" i="20" s="1"/>
  <c r="P88" i="18"/>
  <c r="O88" i="18"/>
  <c r="N88" i="18"/>
  <c r="M88" i="18"/>
  <c r="K88" i="18"/>
  <c r="J88" i="18"/>
  <c r="H88" i="18"/>
  <c r="G88" i="18"/>
  <c r="F88" i="18"/>
  <c r="E88" i="18"/>
  <c r="C88" i="18"/>
  <c r="B88" i="18"/>
  <c r="P87" i="18"/>
  <c r="O87" i="18"/>
  <c r="N87" i="18"/>
  <c r="M87" i="18"/>
  <c r="K87" i="18"/>
  <c r="J87" i="18"/>
  <c r="H87" i="18"/>
  <c r="G87" i="18"/>
  <c r="F87" i="18"/>
  <c r="E87" i="18"/>
  <c r="C87" i="18"/>
  <c r="B87" i="18"/>
  <c r="C22" i="20" s="1"/>
  <c r="P85" i="18"/>
  <c r="O85" i="18"/>
  <c r="N85" i="18"/>
  <c r="M85" i="18"/>
  <c r="K85" i="18"/>
  <c r="J85" i="18"/>
  <c r="H85" i="18"/>
  <c r="G85" i="18"/>
  <c r="F85" i="18"/>
  <c r="E85" i="18"/>
  <c r="C85" i="18"/>
  <c r="B85" i="18"/>
  <c r="P84" i="18"/>
  <c r="O84" i="18"/>
  <c r="N84" i="18"/>
  <c r="M84" i="18"/>
  <c r="K84" i="18"/>
  <c r="J84" i="18"/>
  <c r="H84" i="18"/>
  <c r="G84" i="18"/>
  <c r="F84" i="18"/>
  <c r="E84" i="18"/>
  <c r="D84" i="18" s="1"/>
  <c r="C47" i="20" s="1"/>
  <c r="C84" i="18"/>
  <c r="B84" i="18"/>
  <c r="C19" i="20" s="1"/>
  <c r="P83" i="18"/>
  <c r="O83" i="18"/>
  <c r="N83" i="18"/>
  <c r="M83" i="18"/>
  <c r="K83" i="18"/>
  <c r="J83" i="18"/>
  <c r="H83" i="18"/>
  <c r="G83" i="18"/>
  <c r="F83" i="18"/>
  <c r="E83" i="18"/>
  <c r="C83" i="18"/>
  <c r="B83" i="18"/>
  <c r="P82" i="18"/>
  <c r="O82" i="18"/>
  <c r="N82" i="18"/>
  <c r="M82" i="18"/>
  <c r="K82" i="18"/>
  <c r="J82" i="18"/>
  <c r="H82" i="18"/>
  <c r="G82" i="18"/>
  <c r="F82" i="18"/>
  <c r="E82" i="18"/>
  <c r="C82" i="18"/>
  <c r="B82" i="18"/>
  <c r="P80" i="18"/>
  <c r="O80" i="18"/>
  <c r="N80" i="18"/>
  <c r="M80" i="18"/>
  <c r="K80" i="18"/>
  <c r="J80" i="18"/>
  <c r="H80" i="18"/>
  <c r="G80" i="18"/>
  <c r="F80" i="18"/>
  <c r="E80" i="18"/>
  <c r="C80" i="18"/>
  <c r="C15" i="20" s="1"/>
  <c r="B80" i="18"/>
  <c r="P79" i="18"/>
  <c r="O79" i="18"/>
  <c r="N79" i="18"/>
  <c r="M79" i="18"/>
  <c r="K79" i="18"/>
  <c r="J79" i="18"/>
  <c r="H79" i="18"/>
  <c r="G79" i="18"/>
  <c r="F79" i="18"/>
  <c r="E79" i="18"/>
  <c r="C79" i="18"/>
  <c r="B79" i="18"/>
  <c r="C14" i="20" s="1"/>
  <c r="P78" i="18"/>
  <c r="O78" i="18"/>
  <c r="N78" i="18"/>
  <c r="M78" i="18"/>
  <c r="K78" i="18"/>
  <c r="J78" i="18"/>
  <c r="H78" i="18"/>
  <c r="G78" i="18"/>
  <c r="F78" i="18"/>
  <c r="E78" i="18"/>
  <c r="C78" i="18"/>
  <c r="B78" i="18"/>
  <c r="P77" i="18"/>
  <c r="O77" i="18"/>
  <c r="N77" i="18"/>
  <c r="M77" i="18"/>
  <c r="K77" i="18"/>
  <c r="J77" i="18"/>
  <c r="H77" i="18"/>
  <c r="G77" i="18"/>
  <c r="F77" i="18"/>
  <c r="E77" i="18"/>
  <c r="C77" i="18"/>
  <c r="B77" i="18"/>
  <c r="C12" i="20" s="1"/>
  <c r="P75" i="18"/>
  <c r="O75" i="18"/>
  <c r="N75" i="18"/>
  <c r="M75" i="18"/>
  <c r="K75" i="18"/>
  <c r="J75" i="18"/>
  <c r="H75" i="18"/>
  <c r="G75" i="18"/>
  <c r="F75" i="18"/>
  <c r="E75" i="18"/>
  <c r="C75" i="18"/>
  <c r="B75" i="18"/>
  <c r="P74" i="18"/>
  <c r="O74" i="18"/>
  <c r="N74" i="18"/>
  <c r="M74" i="18"/>
  <c r="K74" i="18"/>
  <c r="J74" i="18"/>
  <c r="H74" i="18"/>
  <c r="G74" i="18"/>
  <c r="F74" i="18"/>
  <c r="E74" i="18"/>
  <c r="C74" i="18"/>
  <c r="B74" i="18"/>
  <c r="P73" i="18"/>
  <c r="O73" i="18"/>
  <c r="N73" i="18"/>
  <c r="M73" i="18"/>
  <c r="K73" i="18"/>
  <c r="J73" i="18"/>
  <c r="H73" i="18"/>
  <c r="G73" i="18"/>
  <c r="F73" i="18"/>
  <c r="E73" i="18"/>
  <c r="C73" i="18"/>
  <c r="B73" i="18"/>
  <c r="P72" i="18"/>
  <c r="O72" i="18"/>
  <c r="N72" i="18"/>
  <c r="M72" i="18"/>
  <c r="K72" i="18"/>
  <c r="J72" i="18"/>
  <c r="H72" i="18"/>
  <c r="G72" i="18"/>
  <c r="F72" i="18"/>
  <c r="E72" i="18"/>
  <c r="C72" i="18"/>
  <c r="B72" i="18"/>
  <c r="C7" i="20" s="1"/>
  <c r="P59" i="18"/>
  <c r="O59" i="18"/>
  <c r="N59" i="18"/>
  <c r="M59" i="18"/>
  <c r="K59" i="18"/>
  <c r="J59" i="18"/>
  <c r="H59" i="18"/>
  <c r="G59" i="18"/>
  <c r="F59" i="18"/>
  <c r="E59" i="18"/>
  <c r="C59" i="18"/>
  <c r="B25" i="20" s="1"/>
  <c r="B59" i="18"/>
  <c r="P58" i="18"/>
  <c r="O58" i="18"/>
  <c r="N58" i="18"/>
  <c r="M58" i="18"/>
  <c r="K58" i="18"/>
  <c r="J58" i="18"/>
  <c r="H58" i="18"/>
  <c r="G58" i="18"/>
  <c r="F58" i="18"/>
  <c r="E58" i="18"/>
  <c r="C58" i="18"/>
  <c r="B58" i="18"/>
  <c r="B24" i="20" s="1"/>
  <c r="P57" i="18"/>
  <c r="O57" i="18"/>
  <c r="N57" i="18"/>
  <c r="M57" i="18"/>
  <c r="K57" i="18"/>
  <c r="J57" i="18"/>
  <c r="H57" i="18"/>
  <c r="G57" i="18"/>
  <c r="F57" i="18"/>
  <c r="E57" i="18"/>
  <c r="C57" i="18"/>
  <c r="B57" i="18"/>
  <c r="P56" i="18"/>
  <c r="O56" i="18"/>
  <c r="N56" i="18"/>
  <c r="M56" i="18"/>
  <c r="K56" i="18"/>
  <c r="J56" i="18"/>
  <c r="H56" i="18"/>
  <c r="G56" i="18"/>
  <c r="F56" i="18"/>
  <c r="E56" i="18"/>
  <c r="C56" i="18"/>
  <c r="B56" i="18"/>
  <c r="P54" i="18"/>
  <c r="O54" i="18"/>
  <c r="N54" i="18"/>
  <c r="M54" i="18"/>
  <c r="K54" i="18"/>
  <c r="J54" i="18"/>
  <c r="H54" i="18"/>
  <c r="G54" i="18"/>
  <c r="F54" i="18"/>
  <c r="E54" i="18"/>
  <c r="C54" i="18"/>
  <c r="B54" i="18"/>
  <c r="P53" i="18"/>
  <c r="O53" i="18"/>
  <c r="N53" i="18"/>
  <c r="M53" i="18"/>
  <c r="K53" i="18"/>
  <c r="J53" i="18"/>
  <c r="H53" i="18"/>
  <c r="G53" i="18"/>
  <c r="F53" i="18"/>
  <c r="E53" i="18"/>
  <c r="D53" i="18" s="1"/>
  <c r="B47" i="20" s="1"/>
  <c r="C53" i="18"/>
  <c r="B53" i="18"/>
  <c r="B19" i="20" s="1"/>
  <c r="P52" i="18"/>
  <c r="O52" i="18"/>
  <c r="N52" i="18"/>
  <c r="M52" i="18"/>
  <c r="K52" i="18"/>
  <c r="J52" i="18"/>
  <c r="H52" i="18"/>
  <c r="G52" i="18"/>
  <c r="F52" i="18"/>
  <c r="E52" i="18"/>
  <c r="C52" i="18"/>
  <c r="B52" i="18"/>
  <c r="P51" i="18"/>
  <c r="O51" i="18"/>
  <c r="N51" i="18"/>
  <c r="M51" i="18"/>
  <c r="K51" i="18"/>
  <c r="J51" i="18"/>
  <c r="H51" i="18"/>
  <c r="G51" i="18"/>
  <c r="F51" i="18"/>
  <c r="E51" i="18"/>
  <c r="C51" i="18"/>
  <c r="B51" i="18"/>
  <c r="B17" i="20" s="1"/>
  <c r="P49" i="18"/>
  <c r="O49" i="18"/>
  <c r="N49" i="18"/>
  <c r="M49" i="18"/>
  <c r="K49" i="18"/>
  <c r="J49" i="18"/>
  <c r="H49" i="18"/>
  <c r="G49" i="18"/>
  <c r="F49" i="18"/>
  <c r="E49" i="18"/>
  <c r="C49" i="18"/>
  <c r="B49" i="18"/>
  <c r="P48" i="18"/>
  <c r="O48" i="18"/>
  <c r="N48" i="18"/>
  <c r="M48" i="18"/>
  <c r="K48" i="18"/>
  <c r="J48" i="18"/>
  <c r="H48" i="18"/>
  <c r="G48" i="18"/>
  <c r="F48" i="18"/>
  <c r="E48" i="18"/>
  <c r="C48" i="18"/>
  <c r="B48" i="18"/>
  <c r="P47" i="18"/>
  <c r="O47" i="18"/>
  <c r="N47" i="18"/>
  <c r="M47" i="18"/>
  <c r="K47" i="18"/>
  <c r="J47" i="18"/>
  <c r="H47" i="18"/>
  <c r="G47" i="18"/>
  <c r="F47" i="18"/>
  <c r="E47" i="18"/>
  <c r="C47" i="18"/>
  <c r="B47" i="18"/>
  <c r="P46" i="18"/>
  <c r="O46" i="18"/>
  <c r="N46" i="18"/>
  <c r="M46" i="18"/>
  <c r="K46" i="18"/>
  <c r="J46" i="18"/>
  <c r="H46" i="18"/>
  <c r="G46" i="18"/>
  <c r="F46" i="18"/>
  <c r="E46" i="18"/>
  <c r="C46" i="18"/>
  <c r="B46" i="18"/>
  <c r="B12" i="20" s="1"/>
  <c r="P44" i="18"/>
  <c r="O44" i="18"/>
  <c r="N44" i="18"/>
  <c r="M44" i="18"/>
  <c r="K44" i="18"/>
  <c r="J44" i="18"/>
  <c r="H44" i="18"/>
  <c r="G44" i="18"/>
  <c r="F44" i="18"/>
  <c r="E44" i="18"/>
  <c r="C44" i="18"/>
  <c r="B44" i="18"/>
  <c r="P43" i="18"/>
  <c r="O43" i="18"/>
  <c r="N43" i="18"/>
  <c r="M43" i="18"/>
  <c r="K43" i="18"/>
  <c r="J43" i="18"/>
  <c r="H43" i="18"/>
  <c r="G43" i="18"/>
  <c r="F43" i="18"/>
  <c r="E43" i="18"/>
  <c r="C43" i="18"/>
  <c r="B43" i="18"/>
  <c r="B9" i="20" s="1"/>
  <c r="P42" i="18"/>
  <c r="O42" i="18"/>
  <c r="N42" i="18"/>
  <c r="M42" i="18"/>
  <c r="K42" i="18"/>
  <c r="J42" i="18"/>
  <c r="H42" i="18"/>
  <c r="G42" i="18"/>
  <c r="F42" i="18"/>
  <c r="E42" i="18"/>
  <c r="C42" i="18"/>
  <c r="B42" i="18"/>
  <c r="P41" i="18"/>
  <c r="O41" i="18"/>
  <c r="N41" i="18"/>
  <c r="M41" i="18"/>
  <c r="K41" i="18"/>
  <c r="J41" i="18"/>
  <c r="H41" i="18"/>
  <c r="G41" i="18"/>
  <c r="F41" i="18"/>
  <c r="E41" i="18"/>
  <c r="C41" i="18"/>
  <c r="B41" i="18"/>
  <c r="B7" i="20" s="1"/>
  <c r="P27" i="18"/>
  <c r="O27" i="18"/>
  <c r="N27" i="18"/>
  <c r="M27" i="18"/>
  <c r="K27" i="18"/>
  <c r="J27" i="18"/>
  <c r="H27" i="18"/>
  <c r="G27" i="18"/>
  <c r="F27" i="18"/>
  <c r="E27" i="18"/>
  <c r="C27" i="18"/>
  <c r="H25" i="20" s="1"/>
  <c r="B27" i="18"/>
  <c r="P26" i="18"/>
  <c r="O26" i="18"/>
  <c r="N26" i="18"/>
  <c r="M26" i="18"/>
  <c r="K26" i="18"/>
  <c r="J26" i="18"/>
  <c r="H26" i="18"/>
  <c r="G26" i="18"/>
  <c r="F26" i="18"/>
  <c r="E26" i="18"/>
  <c r="C26" i="18"/>
  <c r="B26" i="18"/>
  <c r="H24" i="20" s="1"/>
  <c r="P25" i="18"/>
  <c r="O25" i="18"/>
  <c r="N25" i="18"/>
  <c r="M25" i="18"/>
  <c r="K25" i="18"/>
  <c r="J25" i="18"/>
  <c r="H25" i="18"/>
  <c r="G25" i="18"/>
  <c r="F25" i="18"/>
  <c r="E25" i="18"/>
  <c r="C25" i="18"/>
  <c r="B25" i="18"/>
  <c r="P24" i="18"/>
  <c r="O24" i="18"/>
  <c r="N24" i="18"/>
  <c r="M24" i="18"/>
  <c r="K24" i="18"/>
  <c r="J24" i="18"/>
  <c r="H24" i="18"/>
  <c r="G24" i="18"/>
  <c r="F24" i="18"/>
  <c r="E24" i="18"/>
  <c r="C24" i="18"/>
  <c r="B24" i="18"/>
  <c r="H22" i="20" s="1"/>
  <c r="P22" i="18"/>
  <c r="O22" i="18"/>
  <c r="N22" i="18"/>
  <c r="M22" i="18"/>
  <c r="K22" i="18"/>
  <c r="J22" i="18"/>
  <c r="H22" i="18"/>
  <c r="G22" i="18"/>
  <c r="F22" i="18"/>
  <c r="E22" i="18"/>
  <c r="C22" i="18"/>
  <c r="B22" i="18"/>
  <c r="P21" i="18"/>
  <c r="O21" i="18"/>
  <c r="N21" i="18"/>
  <c r="M21" i="18"/>
  <c r="K21" i="18"/>
  <c r="J21" i="18"/>
  <c r="H21" i="18"/>
  <c r="G21" i="18"/>
  <c r="F21" i="18"/>
  <c r="E21" i="18"/>
  <c r="C21" i="18"/>
  <c r="B21" i="18"/>
  <c r="P20" i="18"/>
  <c r="O20" i="18"/>
  <c r="N20" i="18"/>
  <c r="M20" i="18"/>
  <c r="K20" i="18"/>
  <c r="J20" i="18"/>
  <c r="H77" i="20" s="1"/>
  <c r="H20" i="18"/>
  <c r="G20" i="18"/>
  <c r="F20" i="18"/>
  <c r="E20" i="18"/>
  <c r="C20" i="18"/>
  <c r="B20" i="18"/>
  <c r="P19" i="18"/>
  <c r="O19" i="18"/>
  <c r="N19" i="18"/>
  <c r="M19" i="18"/>
  <c r="K19" i="18"/>
  <c r="J19" i="18"/>
  <c r="H19" i="18"/>
  <c r="G19" i="18"/>
  <c r="F19" i="18"/>
  <c r="E19" i="18"/>
  <c r="C19" i="18"/>
  <c r="B19" i="18"/>
  <c r="H17" i="20" s="1"/>
  <c r="P17" i="18"/>
  <c r="O17" i="18"/>
  <c r="N17" i="18"/>
  <c r="M17" i="18"/>
  <c r="K17" i="18"/>
  <c r="J17" i="18"/>
  <c r="H17" i="18"/>
  <c r="G17" i="18"/>
  <c r="F17" i="18"/>
  <c r="E17" i="18"/>
  <c r="C17" i="18"/>
  <c r="B17" i="18"/>
  <c r="P16" i="18"/>
  <c r="O16" i="18"/>
  <c r="N16" i="18"/>
  <c r="M16" i="18"/>
  <c r="K16" i="18"/>
  <c r="J16" i="18"/>
  <c r="H16" i="18"/>
  <c r="G16" i="18"/>
  <c r="F16" i="18"/>
  <c r="E16" i="18"/>
  <c r="C16" i="18"/>
  <c r="B16" i="18"/>
  <c r="H14" i="20" s="1"/>
  <c r="P15" i="18"/>
  <c r="O15" i="18"/>
  <c r="N15" i="18"/>
  <c r="M15" i="18"/>
  <c r="K15" i="18"/>
  <c r="J15" i="18"/>
  <c r="H15" i="18"/>
  <c r="G15" i="18"/>
  <c r="F15" i="18"/>
  <c r="E15" i="18"/>
  <c r="C15" i="18"/>
  <c r="B15" i="18"/>
  <c r="P14" i="18"/>
  <c r="O14" i="18"/>
  <c r="N14" i="18"/>
  <c r="M14" i="18"/>
  <c r="K14" i="18"/>
  <c r="J14" i="18"/>
  <c r="H14" i="18"/>
  <c r="G14" i="18"/>
  <c r="F14" i="18"/>
  <c r="E14" i="18"/>
  <c r="C14" i="18"/>
  <c r="B14" i="18"/>
  <c r="H12" i="20" s="1"/>
  <c r="P12" i="18"/>
  <c r="O12" i="18"/>
  <c r="N12" i="18"/>
  <c r="M12" i="18"/>
  <c r="K12" i="18"/>
  <c r="J12" i="18"/>
  <c r="H12" i="18"/>
  <c r="G12" i="18"/>
  <c r="F12" i="18"/>
  <c r="E12" i="18"/>
  <c r="C12" i="18"/>
  <c r="B12" i="18"/>
  <c r="P11" i="18"/>
  <c r="O11" i="18"/>
  <c r="N11" i="18"/>
  <c r="M11" i="18"/>
  <c r="K11" i="18"/>
  <c r="J11" i="18"/>
  <c r="H11" i="18"/>
  <c r="G11" i="18"/>
  <c r="F11" i="18"/>
  <c r="E11" i="18"/>
  <c r="C11" i="18"/>
  <c r="B11" i="18"/>
  <c r="H9" i="20" s="1"/>
  <c r="P10" i="18"/>
  <c r="O10" i="18"/>
  <c r="N10" i="18"/>
  <c r="M10" i="18"/>
  <c r="K10" i="18"/>
  <c r="J10" i="18"/>
  <c r="H10" i="18"/>
  <c r="G10" i="18"/>
  <c r="F10" i="18"/>
  <c r="E10" i="18"/>
  <c r="C10" i="18"/>
  <c r="H8" i="20" s="1"/>
  <c r="B10" i="18"/>
  <c r="P9" i="18"/>
  <c r="O9" i="18"/>
  <c r="N9" i="18"/>
  <c r="M9" i="18"/>
  <c r="K9" i="18"/>
  <c r="J9" i="18"/>
  <c r="H9" i="18"/>
  <c r="G9" i="18"/>
  <c r="F9" i="18"/>
  <c r="E9" i="18"/>
  <c r="C9" i="18"/>
  <c r="B9" i="18"/>
  <c r="H7" i="20" s="1"/>
  <c r="Q454" i="18"/>
  <c r="Q449" i="18"/>
  <c r="Q444" i="18"/>
  <c r="Q439" i="18"/>
  <c r="Q438" i="18"/>
  <c r="Q437" i="18"/>
  <c r="Q436" i="18"/>
  <c r="Q435" i="18"/>
  <c r="Q434" i="18"/>
  <c r="Q433" i="18"/>
  <c r="Q432" i="18"/>
  <c r="Q431" i="18"/>
  <c r="Q430" i="18"/>
  <c r="Q429" i="18"/>
  <c r="Q424" i="18"/>
  <c r="Q419" i="18"/>
  <c r="Q414" i="18"/>
  <c r="Q409" i="18"/>
  <c r="Q408" i="18"/>
  <c r="Q407" i="18"/>
  <c r="Q406" i="18"/>
  <c r="Q405" i="18"/>
  <c r="Q404" i="18"/>
  <c r="Q403" i="18"/>
  <c r="Q402" i="18"/>
  <c r="Q401" i="18"/>
  <c r="Q400" i="18"/>
  <c r="Q399" i="18"/>
  <c r="Q394" i="18"/>
  <c r="Q389" i="18"/>
  <c r="Q384" i="18"/>
  <c r="Q379" i="18"/>
  <c r="Q378" i="18"/>
  <c r="Q377" i="18"/>
  <c r="Q376" i="18"/>
  <c r="Q375" i="18"/>
  <c r="Q374" i="18"/>
  <c r="Q373" i="18"/>
  <c r="Q372" i="18"/>
  <c r="Q371" i="18"/>
  <c r="Q370" i="18"/>
  <c r="Q369" i="18"/>
  <c r="Q368" i="18"/>
  <c r="Q363" i="18"/>
  <c r="Q358" i="18"/>
  <c r="D357" i="18"/>
  <c r="L43" i="20" s="1"/>
  <c r="Q353" i="18"/>
  <c r="Q348" i="18"/>
  <c r="Q347" i="18"/>
  <c r="Q346" i="18"/>
  <c r="Q345" i="18"/>
  <c r="Q344" i="18"/>
  <c r="Q343" i="18"/>
  <c r="Q342" i="18"/>
  <c r="Q341" i="18"/>
  <c r="Q340" i="18"/>
  <c r="Q338" i="18"/>
  <c r="Q337" i="18"/>
  <c r="D336" i="18"/>
  <c r="K53" i="20" s="1"/>
  <c r="Q332" i="18"/>
  <c r="Q327" i="18"/>
  <c r="Q322" i="18"/>
  <c r="Q317" i="18"/>
  <c r="Q316" i="18"/>
  <c r="Q315" i="18"/>
  <c r="Q314" i="18"/>
  <c r="Q313" i="18"/>
  <c r="Q312" i="18"/>
  <c r="Q311" i="18"/>
  <c r="Q310" i="18"/>
  <c r="Q309" i="18"/>
  <c r="Q308" i="18"/>
  <c r="Q307" i="18"/>
  <c r="Q306" i="18"/>
  <c r="Q301" i="18"/>
  <c r="Q296" i="18"/>
  <c r="Q291" i="18"/>
  <c r="D290" i="18"/>
  <c r="Q286" i="18"/>
  <c r="Q285" i="18"/>
  <c r="Q284" i="18"/>
  <c r="Q283" i="18"/>
  <c r="Q282" i="18"/>
  <c r="Q281" i="18"/>
  <c r="Q280" i="18"/>
  <c r="Q279" i="18"/>
  <c r="Q278" i="18"/>
  <c r="Q277" i="18"/>
  <c r="Q276" i="18"/>
  <c r="Q275" i="18"/>
  <c r="D274" i="18"/>
  <c r="Q270" i="18"/>
  <c r="Q265" i="18"/>
  <c r="D264" i="18"/>
  <c r="I43" i="20" s="1"/>
  <c r="Q260" i="18"/>
  <c r="Q255" i="18"/>
  <c r="Q254" i="18"/>
  <c r="Q253" i="18"/>
  <c r="Q252" i="18"/>
  <c r="Q251" i="18"/>
  <c r="Q250" i="18"/>
  <c r="Q249" i="18"/>
  <c r="Q248" i="18"/>
  <c r="Q247" i="18"/>
  <c r="Q246" i="18"/>
  <c r="Q245" i="18"/>
  <c r="Q244" i="18"/>
  <c r="Q239" i="18"/>
  <c r="Q234" i="18"/>
  <c r="Q229" i="18"/>
  <c r="Q224" i="18"/>
  <c r="Q223" i="18"/>
  <c r="Q222" i="18"/>
  <c r="Q221" i="18"/>
  <c r="Q220" i="18"/>
  <c r="Q219" i="18"/>
  <c r="Q218" i="18"/>
  <c r="Q217" i="18"/>
  <c r="R216" i="18"/>
  <c r="Q216" i="18"/>
  <c r="R215" i="18"/>
  <c r="Q215" i="18"/>
  <c r="R214" i="18"/>
  <c r="Q214" i="18"/>
  <c r="R213" i="18"/>
  <c r="Q213" i="18"/>
  <c r="R208" i="18"/>
  <c r="Q208" i="18"/>
  <c r="R203" i="18"/>
  <c r="Q203" i="18"/>
  <c r="R198" i="18"/>
  <c r="Q198" i="18"/>
  <c r="L195" i="18"/>
  <c r="G95" i="20" s="1"/>
  <c r="R193" i="18"/>
  <c r="Q193" i="18"/>
  <c r="R192" i="18"/>
  <c r="Q192" i="18"/>
  <c r="R191" i="18"/>
  <c r="Q191" i="18"/>
  <c r="R190" i="18"/>
  <c r="Q190" i="18"/>
  <c r="R189" i="18"/>
  <c r="Q189" i="18"/>
  <c r="R188" i="18"/>
  <c r="Q188" i="18"/>
  <c r="R187" i="18"/>
  <c r="Q187" i="18"/>
  <c r="R186" i="18"/>
  <c r="Q186" i="18"/>
  <c r="R185" i="18"/>
  <c r="Q185" i="18"/>
  <c r="R184" i="18"/>
  <c r="Q184" i="18"/>
  <c r="R183" i="18"/>
  <c r="Q183" i="18"/>
  <c r="R178" i="18"/>
  <c r="Q178" i="18"/>
  <c r="R173" i="18"/>
  <c r="Q173" i="18"/>
  <c r="R168" i="18"/>
  <c r="Q168" i="18"/>
  <c r="R163" i="18"/>
  <c r="Q163" i="18"/>
  <c r="R162" i="18"/>
  <c r="Q162" i="18"/>
  <c r="R161" i="18"/>
  <c r="Q161" i="18"/>
  <c r="R160" i="18"/>
  <c r="Q160" i="18"/>
  <c r="R159" i="18"/>
  <c r="Q159" i="18"/>
  <c r="R158" i="18"/>
  <c r="Q158" i="18"/>
  <c r="R157" i="18"/>
  <c r="Q157" i="18"/>
  <c r="R156" i="18"/>
  <c r="Q156" i="18"/>
  <c r="R155" i="18"/>
  <c r="Q155" i="18"/>
  <c r="R153" i="18"/>
  <c r="Q153" i="18"/>
  <c r="R152" i="18"/>
  <c r="Q152" i="18"/>
  <c r="R147" i="18"/>
  <c r="Q147" i="18"/>
  <c r="R142" i="18"/>
  <c r="Q142" i="18"/>
  <c r="R137" i="18"/>
  <c r="Q137" i="18"/>
  <c r="R132" i="18"/>
  <c r="Q132" i="18"/>
  <c r="R131" i="18"/>
  <c r="Q131" i="18"/>
  <c r="R130" i="18"/>
  <c r="Q130" i="18"/>
  <c r="R129" i="18"/>
  <c r="Q129" i="18"/>
  <c r="R128" i="18"/>
  <c r="Q128" i="18"/>
  <c r="R127" i="18"/>
  <c r="Q127" i="18"/>
  <c r="R126" i="18"/>
  <c r="Q126" i="18"/>
  <c r="R125" i="18"/>
  <c r="Q125" i="18"/>
  <c r="R124" i="18"/>
  <c r="Q124" i="18"/>
  <c r="R123" i="18"/>
  <c r="Q123" i="18"/>
  <c r="R122" i="18"/>
  <c r="Q122" i="18"/>
  <c r="R121" i="18"/>
  <c r="Q121" i="18"/>
  <c r="R116" i="18"/>
  <c r="Q116" i="18"/>
  <c r="L113" i="18"/>
  <c r="D105" i="20" s="1"/>
  <c r="R111" i="18"/>
  <c r="Q111" i="18"/>
  <c r="R106" i="18"/>
  <c r="Q106" i="18"/>
  <c r="R101" i="18"/>
  <c r="Q101" i="18"/>
  <c r="R100" i="18"/>
  <c r="Q100" i="18"/>
  <c r="R99" i="18"/>
  <c r="Q99" i="18"/>
  <c r="R98" i="18"/>
  <c r="Q98" i="18"/>
  <c r="R97" i="18"/>
  <c r="Q97" i="18"/>
  <c r="R96" i="18"/>
  <c r="Q96" i="18"/>
  <c r="R95" i="18"/>
  <c r="Q95" i="18"/>
  <c r="R94" i="18"/>
  <c r="Q94" i="18"/>
  <c r="R93" i="18"/>
  <c r="Q93" i="18"/>
  <c r="R92" i="18"/>
  <c r="Q92" i="18"/>
  <c r="R91" i="18"/>
  <c r="Q91" i="18"/>
  <c r="R86" i="18"/>
  <c r="Q86" i="18"/>
  <c r="R81" i="18"/>
  <c r="Q81" i="18"/>
  <c r="R76" i="18"/>
  <c r="Q76" i="18"/>
  <c r="R71" i="18"/>
  <c r="Q71" i="18"/>
  <c r="R70" i="18"/>
  <c r="Q70" i="18"/>
  <c r="R69" i="18"/>
  <c r="Q69" i="18"/>
  <c r="R68" i="18"/>
  <c r="Q68" i="18"/>
  <c r="R67" i="18"/>
  <c r="Q67" i="18"/>
  <c r="R66" i="18"/>
  <c r="Q66" i="18"/>
  <c r="R65" i="18"/>
  <c r="Q65" i="18"/>
  <c r="R64" i="18"/>
  <c r="Q64" i="18"/>
  <c r="R63" i="18"/>
  <c r="Q63" i="18"/>
  <c r="R62" i="18"/>
  <c r="Q62" i="18"/>
  <c r="R61" i="18"/>
  <c r="Q61" i="18"/>
  <c r="R60" i="18"/>
  <c r="Q60" i="18"/>
  <c r="R55" i="18"/>
  <c r="Q55" i="18"/>
  <c r="R50" i="18"/>
  <c r="Q50" i="18"/>
  <c r="R45" i="18"/>
  <c r="Q45" i="18"/>
  <c r="R40" i="18"/>
  <c r="Q40" i="18"/>
  <c r="R39" i="18"/>
  <c r="Q39" i="18"/>
  <c r="R38" i="18"/>
  <c r="Q38" i="18"/>
  <c r="R37" i="18"/>
  <c r="Q37" i="18"/>
  <c r="R36" i="18"/>
  <c r="Q36" i="18"/>
  <c r="R35" i="18"/>
  <c r="Q35" i="18"/>
  <c r="R34" i="18"/>
  <c r="Q34" i="18"/>
  <c r="R33" i="18"/>
  <c r="Q33" i="18"/>
  <c r="R32" i="18"/>
  <c r="Q32" i="18"/>
  <c r="R31" i="18"/>
  <c r="Q31" i="18"/>
  <c r="R30" i="18"/>
  <c r="Q30" i="18"/>
  <c r="R29" i="18"/>
  <c r="Q29" i="18"/>
  <c r="R28" i="18"/>
  <c r="Q28" i="18"/>
  <c r="R23" i="18"/>
  <c r="Q23" i="18"/>
  <c r="R18" i="18"/>
  <c r="Q18" i="18"/>
  <c r="R13" i="18"/>
  <c r="Q13" i="18"/>
  <c r="H458" i="17"/>
  <c r="G458" i="17"/>
  <c r="F458" i="17"/>
  <c r="E458" i="17"/>
  <c r="C458" i="17"/>
  <c r="B458" i="17"/>
  <c r="H457" i="17"/>
  <c r="G457" i="17"/>
  <c r="F457" i="17"/>
  <c r="E457" i="17"/>
  <c r="C457" i="17"/>
  <c r="B457" i="17"/>
  <c r="H456" i="17"/>
  <c r="G456" i="17"/>
  <c r="F456" i="17"/>
  <c r="E456" i="17"/>
  <c r="C456" i="17"/>
  <c r="B456" i="17"/>
  <c r="H455" i="17"/>
  <c r="G455" i="17"/>
  <c r="F455" i="17"/>
  <c r="E455" i="17"/>
  <c r="C455" i="17"/>
  <c r="B455" i="17"/>
  <c r="H453" i="17"/>
  <c r="G453" i="17"/>
  <c r="F453" i="17"/>
  <c r="E453" i="17"/>
  <c r="C453" i="17"/>
  <c r="B453" i="17"/>
  <c r="H452" i="17"/>
  <c r="G452" i="17"/>
  <c r="F452" i="17"/>
  <c r="E452" i="17"/>
  <c r="C452" i="17"/>
  <c r="B452" i="17"/>
  <c r="H451" i="17"/>
  <c r="G451" i="17"/>
  <c r="F451" i="17"/>
  <c r="E451" i="17"/>
  <c r="C451" i="17"/>
  <c r="B451" i="17"/>
  <c r="H450" i="17"/>
  <c r="G450" i="17"/>
  <c r="F450" i="17"/>
  <c r="E450" i="17"/>
  <c r="C450" i="17"/>
  <c r="B450" i="17"/>
  <c r="H448" i="17"/>
  <c r="G448" i="17"/>
  <c r="F448" i="17"/>
  <c r="E448" i="17"/>
  <c r="C448" i="17"/>
  <c r="B448" i="17"/>
  <c r="H447" i="17"/>
  <c r="G447" i="17"/>
  <c r="F447" i="17"/>
  <c r="E447" i="17"/>
  <c r="C447" i="17"/>
  <c r="B447" i="17"/>
  <c r="H446" i="17"/>
  <c r="G446" i="17"/>
  <c r="F446" i="17"/>
  <c r="E446" i="17"/>
  <c r="C446" i="17"/>
  <c r="B446" i="17"/>
  <c r="H445" i="17"/>
  <c r="G445" i="17"/>
  <c r="F445" i="17"/>
  <c r="E445" i="17"/>
  <c r="C445" i="17"/>
  <c r="B445" i="17"/>
  <c r="H443" i="17"/>
  <c r="G443" i="17"/>
  <c r="F443" i="17"/>
  <c r="E443" i="17"/>
  <c r="C443" i="17"/>
  <c r="B443" i="17"/>
  <c r="H442" i="17"/>
  <c r="G442" i="17"/>
  <c r="F442" i="17"/>
  <c r="E442" i="17"/>
  <c r="C442" i="17"/>
  <c r="B442" i="17"/>
  <c r="H441" i="17"/>
  <c r="G441" i="17"/>
  <c r="F441" i="17"/>
  <c r="E441" i="17"/>
  <c r="C441" i="17"/>
  <c r="B441" i="17"/>
  <c r="H440" i="17"/>
  <c r="G440" i="17"/>
  <c r="F440" i="17"/>
  <c r="E440" i="17"/>
  <c r="C440" i="17"/>
  <c r="B440" i="17"/>
  <c r="H428" i="17"/>
  <c r="G428" i="17"/>
  <c r="F428" i="17"/>
  <c r="E428" i="17"/>
  <c r="C428" i="17"/>
  <c r="B428" i="17"/>
  <c r="H427" i="17"/>
  <c r="G427" i="17"/>
  <c r="F427" i="17"/>
  <c r="E427" i="17"/>
  <c r="C427" i="17"/>
  <c r="B427" i="17"/>
  <c r="H426" i="17"/>
  <c r="G426" i="17"/>
  <c r="F426" i="17"/>
  <c r="E426" i="17"/>
  <c r="C426" i="17"/>
  <c r="B426" i="17"/>
  <c r="H425" i="17"/>
  <c r="G425" i="17"/>
  <c r="F425" i="17"/>
  <c r="E425" i="17"/>
  <c r="C425" i="17"/>
  <c r="B425" i="17"/>
  <c r="H423" i="17"/>
  <c r="G423" i="17"/>
  <c r="F423" i="17"/>
  <c r="E423" i="17"/>
  <c r="C423" i="17"/>
  <c r="B423" i="17"/>
  <c r="H422" i="17"/>
  <c r="G422" i="17"/>
  <c r="F422" i="17"/>
  <c r="E422" i="17"/>
  <c r="C422" i="17"/>
  <c r="B422" i="17"/>
  <c r="H421" i="17"/>
  <c r="G421" i="17"/>
  <c r="F421" i="17"/>
  <c r="E421" i="17"/>
  <c r="C421" i="17"/>
  <c r="B421" i="17"/>
  <c r="H420" i="17"/>
  <c r="G420" i="17"/>
  <c r="F420" i="17"/>
  <c r="E420" i="17"/>
  <c r="C420" i="17"/>
  <c r="B420" i="17"/>
  <c r="H418" i="17"/>
  <c r="G418" i="17"/>
  <c r="F418" i="17"/>
  <c r="E418" i="17"/>
  <c r="C418" i="17"/>
  <c r="B418" i="17"/>
  <c r="H417" i="17"/>
  <c r="G417" i="17"/>
  <c r="F417" i="17"/>
  <c r="E417" i="17"/>
  <c r="C417" i="17"/>
  <c r="B417" i="17"/>
  <c r="H416" i="17"/>
  <c r="G416" i="17"/>
  <c r="F416" i="17"/>
  <c r="E416" i="17"/>
  <c r="C416" i="17"/>
  <c r="B416" i="17"/>
  <c r="H415" i="17"/>
  <c r="G415" i="17"/>
  <c r="F415" i="17"/>
  <c r="E415" i="17"/>
  <c r="C415" i="17"/>
  <c r="B415" i="17"/>
  <c r="H413" i="17"/>
  <c r="G413" i="17"/>
  <c r="F413" i="17"/>
  <c r="E413" i="17"/>
  <c r="C413" i="17"/>
  <c r="B413" i="17"/>
  <c r="H412" i="17"/>
  <c r="G412" i="17"/>
  <c r="F412" i="17"/>
  <c r="E412" i="17"/>
  <c r="C412" i="17"/>
  <c r="B412" i="17"/>
  <c r="H411" i="17"/>
  <c r="G411" i="17"/>
  <c r="F411" i="17"/>
  <c r="E411" i="17"/>
  <c r="C411" i="17"/>
  <c r="B411" i="17"/>
  <c r="H410" i="17"/>
  <c r="G410" i="17"/>
  <c r="F410" i="17"/>
  <c r="E410" i="17"/>
  <c r="C410" i="17"/>
  <c r="B410" i="17"/>
  <c r="H398" i="17"/>
  <c r="G398" i="17"/>
  <c r="F398" i="17"/>
  <c r="E398" i="17"/>
  <c r="C398" i="17"/>
  <c r="B398" i="17"/>
  <c r="H397" i="17"/>
  <c r="G397" i="17"/>
  <c r="F397" i="17"/>
  <c r="E397" i="17"/>
  <c r="C397" i="17"/>
  <c r="B397" i="17"/>
  <c r="H396" i="17"/>
  <c r="G396" i="17"/>
  <c r="F396" i="17"/>
  <c r="E396" i="17"/>
  <c r="C396" i="17"/>
  <c r="B396" i="17"/>
  <c r="H395" i="17"/>
  <c r="G395" i="17"/>
  <c r="F395" i="17"/>
  <c r="E395" i="17"/>
  <c r="C395" i="17"/>
  <c r="B395" i="17"/>
  <c r="H393" i="17"/>
  <c r="G393" i="17"/>
  <c r="F393" i="17"/>
  <c r="E393" i="17"/>
  <c r="C393" i="17"/>
  <c r="B393" i="17"/>
  <c r="H392" i="17"/>
  <c r="G392" i="17"/>
  <c r="F392" i="17"/>
  <c r="E392" i="17"/>
  <c r="C392" i="17"/>
  <c r="B392" i="17"/>
  <c r="H391" i="17"/>
  <c r="G391" i="17"/>
  <c r="F391" i="17"/>
  <c r="E391" i="17"/>
  <c r="C391" i="17"/>
  <c r="B391" i="17"/>
  <c r="H390" i="17"/>
  <c r="G390" i="17"/>
  <c r="F390" i="17"/>
  <c r="E390" i="17"/>
  <c r="C390" i="17"/>
  <c r="B390" i="17"/>
  <c r="H388" i="17"/>
  <c r="G388" i="17"/>
  <c r="F388" i="17"/>
  <c r="E388" i="17"/>
  <c r="C388" i="17"/>
  <c r="B388" i="17"/>
  <c r="H387" i="17"/>
  <c r="G387" i="17"/>
  <c r="F387" i="17"/>
  <c r="E387" i="17"/>
  <c r="C387" i="17"/>
  <c r="B387" i="17"/>
  <c r="H386" i="17"/>
  <c r="G386" i="17"/>
  <c r="F386" i="17"/>
  <c r="E386" i="17"/>
  <c r="C386" i="17"/>
  <c r="B386" i="17"/>
  <c r="H385" i="17"/>
  <c r="G385" i="17"/>
  <c r="F385" i="17"/>
  <c r="E385" i="17"/>
  <c r="C385" i="17"/>
  <c r="B385" i="17"/>
  <c r="H383" i="17"/>
  <c r="G383" i="17"/>
  <c r="F383" i="17"/>
  <c r="E383" i="17"/>
  <c r="C383" i="17"/>
  <c r="B383" i="17"/>
  <c r="H382" i="17"/>
  <c r="G382" i="17"/>
  <c r="F382" i="17"/>
  <c r="E382" i="17"/>
  <c r="C382" i="17"/>
  <c r="B382" i="17"/>
  <c r="H381" i="17"/>
  <c r="G381" i="17"/>
  <c r="F381" i="17"/>
  <c r="E381" i="17"/>
  <c r="C381" i="17"/>
  <c r="B381" i="17"/>
  <c r="H380" i="17"/>
  <c r="G380" i="17"/>
  <c r="F380" i="17"/>
  <c r="E380" i="17"/>
  <c r="C380" i="17"/>
  <c r="B380" i="17"/>
  <c r="H367" i="17"/>
  <c r="G367" i="17"/>
  <c r="F367" i="17"/>
  <c r="E367" i="17"/>
  <c r="C367" i="17"/>
  <c r="B367" i="17"/>
  <c r="H366" i="17"/>
  <c r="G366" i="17"/>
  <c r="F366" i="17"/>
  <c r="E366" i="17"/>
  <c r="C366" i="17"/>
  <c r="B366" i="17"/>
  <c r="H365" i="17"/>
  <c r="G365" i="17"/>
  <c r="F365" i="17"/>
  <c r="E365" i="17"/>
  <c r="C365" i="17"/>
  <c r="B365" i="17"/>
  <c r="H364" i="17"/>
  <c r="G364" i="17"/>
  <c r="F364" i="17"/>
  <c r="E364" i="17"/>
  <c r="C364" i="17"/>
  <c r="B364" i="17"/>
  <c r="H362" i="17"/>
  <c r="G362" i="17"/>
  <c r="D362" i="17" s="1"/>
  <c r="L47" i="19" s="1"/>
  <c r="F362" i="17"/>
  <c r="E362" i="17"/>
  <c r="C362" i="17"/>
  <c r="B362" i="17"/>
  <c r="H361" i="17"/>
  <c r="G361" i="17"/>
  <c r="F361" i="17"/>
  <c r="E361" i="17"/>
  <c r="C361" i="17"/>
  <c r="B361" i="17"/>
  <c r="H360" i="17"/>
  <c r="G360" i="17"/>
  <c r="F360" i="17"/>
  <c r="E360" i="17"/>
  <c r="C360" i="17"/>
  <c r="B360" i="17"/>
  <c r="H359" i="17"/>
  <c r="G359" i="17"/>
  <c r="F359" i="17"/>
  <c r="E359" i="17"/>
  <c r="C359" i="17"/>
  <c r="B359" i="17"/>
  <c r="H357" i="17"/>
  <c r="G357" i="17"/>
  <c r="F357" i="17"/>
  <c r="E357" i="17"/>
  <c r="C357" i="17"/>
  <c r="B357" i="17"/>
  <c r="H356" i="17"/>
  <c r="G356" i="17"/>
  <c r="F356" i="17"/>
  <c r="E356" i="17"/>
  <c r="C356" i="17"/>
  <c r="B356" i="17"/>
  <c r="H355" i="17"/>
  <c r="G355" i="17"/>
  <c r="F355" i="17"/>
  <c r="E355" i="17"/>
  <c r="C355" i="17"/>
  <c r="B355" i="17"/>
  <c r="H354" i="17"/>
  <c r="G354" i="17"/>
  <c r="F354" i="17"/>
  <c r="E354" i="17"/>
  <c r="C354" i="17"/>
  <c r="B354" i="17"/>
  <c r="H352" i="17"/>
  <c r="G352" i="17"/>
  <c r="F352" i="17"/>
  <c r="E352" i="17"/>
  <c r="C352" i="17"/>
  <c r="B352" i="17"/>
  <c r="H351" i="17"/>
  <c r="G351" i="17"/>
  <c r="F351" i="17"/>
  <c r="E351" i="17"/>
  <c r="C351" i="17"/>
  <c r="B351" i="17"/>
  <c r="H350" i="17"/>
  <c r="G350" i="17"/>
  <c r="F350" i="17"/>
  <c r="E350" i="17"/>
  <c r="C350" i="17"/>
  <c r="B350" i="17"/>
  <c r="H349" i="17"/>
  <c r="G349" i="17"/>
  <c r="F349" i="17"/>
  <c r="E349" i="17"/>
  <c r="C349" i="17"/>
  <c r="B349" i="17"/>
  <c r="H336" i="17"/>
  <c r="G336" i="17"/>
  <c r="F336" i="17"/>
  <c r="E336" i="17"/>
  <c r="C336" i="17"/>
  <c r="B336" i="17"/>
  <c r="H335" i="17"/>
  <c r="G335" i="17"/>
  <c r="F335" i="17"/>
  <c r="E335" i="17"/>
  <c r="C335" i="17"/>
  <c r="B335" i="17"/>
  <c r="H334" i="17"/>
  <c r="G334" i="17"/>
  <c r="F334" i="17"/>
  <c r="E334" i="17"/>
  <c r="C334" i="17"/>
  <c r="B334" i="17"/>
  <c r="H333" i="17"/>
  <c r="G333" i="17"/>
  <c r="F333" i="17"/>
  <c r="E333" i="17"/>
  <c r="C333" i="17"/>
  <c r="B333" i="17"/>
  <c r="H331" i="17"/>
  <c r="G331" i="17"/>
  <c r="D331" i="17" s="1"/>
  <c r="K47" i="19" s="1"/>
  <c r="F331" i="17"/>
  <c r="E331" i="17"/>
  <c r="C331" i="17"/>
  <c r="B331" i="17"/>
  <c r="H330" i="17"/>
  <c r="G330" i="17"/>
  <c r="F330" i="17"/>
  <c r="E330" i="17"/>
  <c r="C330" i="17"/>
  <c r="B330" i="17"/>
  <c r="H329" i="17"/>
  <c r="G329" i="17"/>
  <c r="F329" i="17"/>
  <c r="E329" i="17"/>
  <c r="C329" i="17"/>
  <c r="B329" i="17"/>
  <c r="H328" i="17"/>
  <c r="G328" i="17"/>
  <c r="F328" i="17"/>
  <c r="E328" i="17"/>
  <c r="C328" i="17"/>
  <c r="B328" i="17"/>
  <c r="H326" i="17"/>
  <c r="G326" i="17"/>
  <c r="F326" i="17"/>
  <c r="E326" i="17"/>
  <c r="C326" i="17"/>
  <c r="B326" i="17"/>
  <c r="H325" i="17"/>
  <c r="G325" i="17"/>
  <c r="F325" i="17"/>
  <c r="E325" i="17"/>
  <c r="C325" i="17"/>
  <c r="B325" i="17"/>
  <c r="H324" i="17"/>
  <c r="G324" i="17"/>
  <c r="F324" i="17"/>
  <c r="E324" i="17"/>
  <c r="C324" i="17"/>
  <c r="B324" i="17"/>
  <c r="H323" i="17"/>
  <c r="G323" i="17"/>
  <c r="F323" i="17"/>
  <c r="E323" i="17"/>
  <c r="C323" i="17"/>
  <c r="B323" i="17"/>
  <c r="H321" i="17"/>
  <c r="G321" i="17"/>
  <c r="F321" i="17"/>
  <c r="E321" i="17"/>
  <c r="C321" i="17"/>
  <c r="B321" i="17"/>
  <c r="H320" i="17"/>
  <c r="G320" i="17"/>
  <c r="F320" i="17"/>
  <c r="E320" i="17"/>
  <c r="C320" i="17"/>
  <c r="B320" i="17"/>
  <c r="H319" i="17"/>
  <c r="G319" i="17"/>
  <c r="F319" i="17"/>
  <c r="E319" i="17"/>
  <c r="C319" i="17"/>
  <c r="B319" i="17"/>
  <c r="H318" i="17"/>
  <c r="G318" i="17"/>
  <c r="F318" i="17"/>
  <c r="E318" i="17"/>
  <c r="C318" i="17"/>
  <c r="B318" i="17"/>
  <c r="H305" i="17"/>
  <c r="G305" i="17"/>
  <c r="F305" i="17"/>
  <c r="E305" i="17"/>
  <c r="C305" i="17"/>
  <c r="B305" i="17"/>
  <c r="H304" i="17"/>
  <c r="G304" i="17"/>
  <c r="F304" i="17"/>
  <c r="E304" i="17"/>
  <c r="C304" i="17"/>
  <c r="B304" i="17"/>
  <c r="H303" i="17"/>
  <c r="G303" i="17"/>
  <c r="F303" i="17"/>
  <c r="E303" i="17"/>
  <c r="C303" i="17"/>
  <c r="B303" i="17"/>
  <c r="H302" i="17"/>
  <c r="G302" i="17"/>
  <c r="F302" i="17"/>
  <c r="E302" i="17"/>
  <c r="C302" i="17"/>
  <c r="B302" i="17"/>
  <c r="H300" i="17"/>
  <c r="G300" i="17"/>
  <c r="F300" i="17"/>
  <c r="E300" i="17"/>
  <c r="C300" i="17"/>
  <c r="B300" i="17"/>
  <c r="H299" i="17"/>
  <c r="G299" i="17"/>
  <c r="F299" i="17"/>
  <c r="E299" i="17"/>
  <c r="C299" i="17"/>
  <c r="B299" i="17"/>
  <c r="H298" i="17"/>
  <c r="G298" i="17"/>
  <c r="F298" i="17"/>
  <c r="E298" i="17"/>
  <c r="C298" i="17"/>
  <c r="B298" i="17"/>
  <c r="H297" i="17"/>
  <c r="G297" i="17"/>
  <c r="F297" i="17"/>
  <c r="E297" i="17"/>
  <c r="C297" i="17"/>
  <c r="B297" i="17"/>
  <c r="H295" i="17"/>
  <c r="G295" i="17"/>
  <c r="F295" i="17"/>
  <c r="E295" i="17"/>
  <c r="C295" i="17"/>
  <c r="B295" i="17"/>
  <c r="H294" i="17"/>
  <c r="G294" i="17"/>
  <c r="F294" i="17"/>
  <c r="E294" i="17"/>
  <c r="C294" i="17"/>
  <c r="B294" i="17"/>
  <c r="H293" i="17"/>
  <c r="G293" i="17"/>
  <c r="F293" i="17"/>
  <c r="E293" i="17"/>
  <c r="C293" i="17"/>
  <c r="B293" i="17"/>
  <c r="H292" i="17"/>
  <c r="G292" i="17"/>
  <c r="F292" i="17"/>
  <c r="E292" i="17"/>
  <c r="C292" i="17"/>
  <c r="B292" i="17"/>
  <c r="H290" i="17"/>
  <c r="G290" i="17"/>
  <c r="F290" i="17"/>
  <c r="E290" i="17"/>
  <c r="C290" i="17"/>
  <c r="B290" i="17"/>
  <c r="H289" i="17"/>
  <c r="G289" i="17"/>
  <c r="F289" i="17"/>
  <c r="E289" i="17"/>
  <c r="C289" i="17"/>
  <c r="B289" i="17"/>
  <c r="H288" i="17"/>
  <c r="G288" i="17"/>
  <c r="F288" i="17"/>
  <c r="E288" i="17"/>
  <c r="C288" i="17"/>
  <c r="B288" i="17"/>
  <c r="H287" i="17"/>
  <c r="G287" i="17"/>
  <c r="F287" i="17"/>
  <c r="E287" i="17"/>
  <c r="C287" i="17"/>
  <c r="B287" i="17"/>
  <c r="H274" i="17"/>
  <c r="G274" i="17"/>
  <c r="F274" i="17"/>
  <c r="E274" i="17"/>
  <c r="C274" i="17"/>
  <c r="B274" i="17"/>
  <c r="H273" i="17"/>
  <c r="G273" i="17"/>
  <c r="F273" i="17"/>
  <c r="E273" i="17"/>
  <c r="C273" i="17"/>
  <c r="B273" i="17"/>
  <c r="H272" i="17"/>
  <c r="G272" i="17"/>
  <c r="F272" i="17"/>
  <c r="E272" i="17"/>
  <c r="C272" i="17"/>
  <c r="B272" i="17"/>
  <c r="H271" i="17"/>
  <c r="G271" i="17"/>
  <c r="F271" i="17"/>
  <c r="E271" i="17"/>
  <c r="C271" i="17"/>
  <c r="B271" i="17"/>
  <c r="H269" i="17"/>
  <c r="G269" i="17"/>
  <c r="F269" i="17"/>
  <c r="E269" i="17"/>
  <c r="C269" i="17"/>
  <c r="B269" i="17"/>
  <c r="H268" i="17"/>
  <c r="G268" i="17"/>
  <c r="F268" i="17"/>
  <c r="E268" i="17"/>
  <c r="C268" i="17"/>
  <c r="B268" i="17"/>
  <c r="H267" i="17"/>
  <c r="G267" i="17"/>
  <c r="F267" i="17"/>
  <c r="E267" i="17"/>
  <c r="C267" i="17"/>
  <c r="B267" i="17"/>
  <c r="H266" i="17"/>
  <c r="G266" i="17"/>
  <c r="F266" i="17"/>
  <c r="E266" i="17"/>
  <c r="C266" i="17"/>
  <c r="B266" i="17"/>
  <c r="H264" i="17"/>
  <c r="G264" i="17"/>
  <c r="F264" i="17"/>
  <c r="E264" i="17"/>
  <c r="C264" i="17"/>
  <c r="B264" i="17"/>
  <c r="H263" i="17"/>
  <c r="G263" i="17"/>
  <c r="F263" i="17"/>
  <c r="E263" i="17"/>
  <c r="C263" i="17"/>
  <c r="B263" i="17"/>
  <c r="H262" i="17"/>
  <c r="G262" i="17"/>
  <c r="F262" i="17"/>
  <c r="E262" i="17"/>
  <c r="C262" i="17"/>
  <c r="B262" i="17"/>
  <c r="H261" i="17"/>
  <c r="G261" i="17"/>
  <c r="F261" i="17"/>
  <c r="E261" i="17"/>
  <c r="C261" i="17"/>
  <c r="B261" i="17"/>
  <c r="H259" i="17"/>
  <c r="G259" i="17"/>
  <c r="F259" i="17"/>
  <c r="E259" i="17"/>
  <c r="C259" i="17"/>
  <c r="B259" i="17"/>
  <c r="H258" i="17"/>
  <c r="G258" i="17"/>
  <c r="F258" i="17"/>
  <c r="E258" i="17"/>
  <c r="C258" i="17"/>
  <c r="B258" i="17"/>
  <c r="H257" i="17"/>
  <c r="G257" i="17"/>
  <c r="F257" i="17"/>
  <c r="E257" i="17"/>
  <c r="C257" i="17"/>
  <c r="B257" i="17"/>
  <c r="H256" i="17"/>
  <c r="G256" i="17"/>
  <c r="F256" i="17"/>
  <c r="E256" i="17"/>
  <c r="C256" i="17"/>
  <c r="B256" i="17"/>
  <c r="H243" i="17"/>
  <c r="G243" i="17"/>
  <c r="F243" i="17"/>
  <c r="E243" i="17"/>
  <c r="C243" i="17"/>
  <c r="B243" i="17"/>
  <c r="H242" i="17"/>
  <c r="G242" i="17"/>
  <c r="F242" i="17"/>
  <c r="E242" i="17"/>
  <c r="C242" i="17"/>
  <c r="B242" i="17"/>
  <c r="H241" i="17"/>
  <c r="G241" i="17"/>
  <c r="F241" i="17"/>
  <c r="E241" i="17"/>
  <c r="C241" i="17"/>
  <c r="B241" i="17"/>
  <c r="H240" i="17"/>
  <c r="G240" i="17"/>
  <c r="F240" i="17"/>
  <c r="E240" i="17"/>
  <c r="C240" i="17"/>
  <c r="B240" i="17"/>
  <c r="H238" i="17"/>
  <c r="G238" i="17"/>
  <c r="F238" i="17"/>
  <c r="E238" i="17"/>
  <c r="C238" i="17"/>
  <c r="B238" i="17"/>
  <c r="H237" i="17"/>
  <c r="G237" i="17"/>
  <c r="F237" i="17"/>
  <c r="E237" i="17"/>
  <c r="C237" i="17"/>
  <c r="B237" i="17"/>
  <c r="H236" i="17"/>
  <c r="G236" i="17"/>
  <c r="F236" i="17"/>
  <c r="E236" i="17"/>
  <c r="C236" i="17"/>
  <c r="B236" i="17"/>
  <c r="H235" i="17"/>
  <c r="G235" i="17"/>
  <c r="F235" i="17"/>
  <c r="E235" i="17"/>
  <c r="C235" i="17"/>
  <c r="B235" i="17"/>
  <c r="H233" i="17"/>
  <c r="G233" i="17"/>
  <c r="F233" i="17"/>
  <c r="E233" i="17"/>
  <c r="C233" i="17"/>
  <c r="B233" i="17"/>
  <c r="H232" i="17"/>
  <c r="G232" i="17"/>
  <c r="F232" i="17"/>
  <c r="E232" i="17"/>
  <c r="C232" i="17"/>
  <c r="B232" i="17"/>
  <c r="H231" i="17"/>
  <c r="G231" i="17"/>
  <c r="F231" i="17"/>
  <c r="E231" i="17"/>
  <c r="C231" i="17"/>
  <c r="B231" i="17"/>
  <c r="H230" i="17"/>
  <c r="G230" i="17"/>
  <c r="F230" i="17"/>
  <c r="E230" i="17"/>
  <c r="C230" i="17"/>
  <c r="B230" i="17"/>
  <c r="H228" i="17"/>
  <c r="G228" i="17"/>
  <c r="F228" i="17"/>
  <c r="E228" i="17"/>
  <c r="C228" i="17"/>
  <c r="B228" i="17"/>
  <c r="H227" i="17"/>
  <c r="G227" i="17"/>
  <c r="F227" i="17"/>
  <c r="E227" i="17"/>
  <c r="C227" i="17"/>
  <c r="B227" i="17"/>
  <c r="H226" i="17"/>
  <c r="G226" i="17"/>
  <c r="F226" i="17"/>
  <c r="E226" i="17"/>
  <c r="C226" i="17"/>
  <c r="B226" i="17"/>
  <c r="H225" i="17"/>
  <c r="G225" i="17"/>
  <c r="F225" i="17"/>
  <c r="E225" i="17"/>
  <c r="C225" i="17"/>
  <c r="B225" i="17"/>
  <c r="P212" i="17"/>
  <c r="O212" i="17"/>
  <c r="N212" i="17"/>
  <c r="M212" i="17"/>
  <c r="K212" i="17"/>
  <c r="J212" i="17"/>
  <c r="H212" i="17"/>
  <c r="G212" i="17"/>
  <c r="F212" i="17"/>
  <c r="E212" i="17"/>
  <c r="C212" i="17"/>
  <c r="B212" i="17"/>
  <c r="P211" i="17"/>
  <c r="O211" i="17"/>
  <c r="N211" i="17"/>
  <c r="M211" i="17"/>
  <c r="K211" i="17"/>
  <c r="J211" i="17"/>
  <c r="H211" i="17"/>
  <c r="G211" i="17"/>
  <c r="F211" i="17"/>
  <c r="E211" i="17"/>
  <c r="C211" i="17"/>
  <c r="B211" i="17"/>
  <c r="P210" i="17"/>
  <c r="O210" i="17"/>
  <c r="N210" i="17"/>
  <c r="M210" i="17"/>
  <c r="K210" i="17"/>
  <c r="J210" i="17"/>
  <c r="H210" i="17"/>
  <c r="G210" i="17"/>
  <c r="F210" i="17"/>
  <c r="E210" i="17"/>
  <c r="C210" i="17"/>
  <c r="B210" i="17"/>
  <c r="P209" i="17"/>
  <c r="O209" i="17"/>
  <c r="N209" i="17"/>
  <c r="M209" i="17"/>
  <c r="K209" i="17"/>
  <c r="J209" i="17"/>
  <c r="H209" i="17"/>
  <c r="G209" i="17"/>
  <c r="F209" i="17"/>
  <c r="E209" i="17"/>
  <c r="C209" i="17"/>
  <c r="B209" i="17"/>
  <c r="P207" i="17"/>
  <c r="O207" i="17"/>
  <c r="N207" i="17"/>
  <c r="M207" i="17"/>
  <c r="K207" i="17"/>
  <c r="J207" i="17"/>
  <c r="H207" i="17"/>
  <c r="G207" i="17"/>
  <c r="F207" i="17"/>
  <c r="E207" i="17"/>
  <c r="C207" i="17"/>
  <c r="B207" i="17"/>
  <c r="P206" i="17"/>
  <c r="O206" i="17"/>
  <c r="N206" i="17"/>
  <c r="M206" i="17"/>
  <c r="K206" i="17"/>
  <c r="J206" i="17"/>
  <c r="H206" i="17"/>
  <c r="G206" i="17"/>
  <c r="F206" i="17"/>
  <c r="E206" i="17"/>
  <c r="C206" i="17"/>
  <c r="B206" i="17"/>
  <c r="P205" i="17"/>
  <c r="O205" i="17"/>
  <c r="L205" i="17" s="1"/>
  <c r="G103" i="19" s="1"/>
  <c r="N205" i="17"/>
  <c r="M205" i="17"/>
  <c r="K205" i="17"/>
  <c r="J205" i="17"/>
  <c r="H205" i="17"/>
  <c r="G205" i="17"/>
  <c r="F205" i="17"/>
  <c r="E205" i="17"/>
  <c r="C205" i="17"/>
  <c r="B205" i="17"/>
  <c r="P204" i="17"/>
  <c r="O204" i="17"/>
  <c r="N204" i="17"/>
  <c r="M204" i="17"/>
  <c r="K204" i="17"/>
  <c r="J204" i="17"/>
  <c r="H204" i="17"/>
  <c r="G204" i="17"/>
  <c r="F204" i="17"/>
  <c r="E204" i="17"/>
  <c r="C204" i="17"/>
  <c r="B204" i="17"/>
  <c r="P202" i="17"/>
  <c r="O202" i="17"/>
  <c r="N202" i="17"/>
  <c r="M202" i="17"/>
  <c r="K202" i="17"/>
  <c r="J202" i="17"/>
  <c r="H202" i="17"/>
  <c r="G202" i="17"/>
  <c r="F202" i="17"/>
  <c r="E202" i="17"/>
  <c r="C202" i="17"/>
  <c r="B202" i="17"/>
  <c r="P201" i="17"/>
  <c r="O201" i="17"/>
  <c r="N201" i="17"/>
  <c r="M201" i="17"/>
  <c r="K201" i="17"/>
  <c r="J201" i="17"/>
  <c r="H201" i="17"/>
  <c r="G201" i="17"/>
  <c r="F201" i="17"/>
  <c r="E201" i="17"/>
  <c r="C201" i="17"/>
  <c r="B201" i="17"/>
  <c r="P200" i="17"/>
  <c r="O200" i="17"/>
  <c r="N200" i="17"/>
  <c r="M200" i="17"/>
  <c r="K200" i="17"/>
  <c r="J200" i="17"/>
  <c r="H200" i="17"/>
  <c r="G200" i="17"/>
  <c r="F200" i="17"/>
  <c r="E200" i="17"/>
  <c r="C200" i="17"/>
  <c r="B200" i="17"/>
  <c r="P199" i="17"/>
  <c r="O199" i="17"/>
  <c r="N199" i="17"/>
  <c r="M199" i="17"/>
  <c r="K199" i="17"/>
  <c r="J199" i="17"/>
  <c r="H199" i="17"/>
  <c r="G199" i="17"/>
  <c r="F199" i="17"/>
  <c r="E199" i="17"/>
  <c r="C199" i="17"/>
  <c r="B199" i="17"/>
  <c r="P197" i="17"/>
  <c r="O197" i="17"/>
  <c r="N197" i="17"/>
  <c r="M197" i="17"/>
  <c r="K197" i="17"/>
  <c r="J197" i="17"/>
  <c r="H197" i="17"/>
  <c r="G197" i="17"/>
  <c r="F197" i="17"/>
  <c r="E197" i="17"/>
  <c r="C197" i="17"/>
  <c r="B197" i="17"/>
  <c r="P196" i="17"/>
  <c r="O196" i="17"/>
  <c r="N196" i="17"/>
  <c r="M196" i="17"/>
  <c r="K196" i="17"/>
  <c r="J196" i="17"/>
  <c r="H196" i="17"/>
  <c r="G196" i="17"/>
  <c r="F196" i="17"/>
  <c r="E196" i="17"/>
  <c r="C196" i="17"/>
  <c r="B196" i="17"/>
  <c r="P195" i="17"/>
  <c r="O195" i="17"/>
  <c r="N195" i="17"/>
  <c r="M195" i="17"/>
  <c r="K195" i="17"/>
  <c r="J195" i="17"/>
  <c r="H195" i="17"/>
  <c r="G195" i="17"/>
  <c r="F195" i="17"/>
  <c r="E195" i="17"/>
  <c r="C195" i="17"/>
  <c r="B195" i="17"/>
  <c r="P194" i="17"/>
  <c r="O194" i="17"/>
  <c r="N194" i="17"/>
  <c r="M194" i="17"/>
  <c r="K194" i="17"/>
  <c r="J194" i="17"/>
  <c r="H194" i="17"/>
  <c r="G194" i="17"/>
  <c r="F194" i="17"/>
  <c r="E194" i="17"/>
  <c r="C194" i="17"/>
  <c r="B194" i="17"/>
  <c r="P182" i="17"/>
  <c r="O182" i="17"/>
  <c r="N182" i="17"/>
  <c r="M182" i="17"/>
  <c r="K182" i="17"/>
  <c r="J182" i="17"/>
  <c r="H182" i="17"/>
  <c r="G182" i="17"/>
  <c r="F182" i="17"/>
  <c r="E182" i="17"/>
  <c r="C182" i="17"/>
  <c r="B182" i="17"/>
  <c r="P181" i="17"/>
  <c r="O181" i="17"/>
  <c r="N181" i="17"/>
  <c r="M181" i="17"/>
  <c r="K181" i="17"/>
  <c r="J181" i="17"/>
  <c r="H181" i="17"/>
  <c r="G181" i="17"/>
  <c r="F181" i="17"/>
  <c r="E181" i="17"/>
  <c r="C181" i="17"/>
  <c r="B181" i="17"/>
  <c r="P180" i="17"/>
  <c r="O180" i="17"/>
  <c r="N180" i="17"/>
  <c r="M180" i="17"/>
  <c r="K180" i="17"/>
  <c r="J180" i="17"/>
  <c r="H180" i="17"/>
  <c r="G180" i="17"/>
  <c r="F180" i="17"/>
  <c r="E180" i="17"/>
  <c r="C180" i="17"/>
  <c r="B180" i="17"/>
  <c r="P179" i="17"/>
  <c r="O179" i="17"/>
  <c r="N179" i="17"/>
  <c r="M179" i="17"/>
  <c r="K179" i="17"/>
  <c r="J179" i="17"/>
  <c r="H179" i="17"/>
  <c r="G179" i="17"/>
  <c r="F179" i="17"/>
  <c r="E179" i="17"/>
  <c r="C179" i="17"/>
  <c r="B179" i="17"/>
  <c r="P177" i="17"/>
  <c r="O177" i="17"/>
  <c r="N177" i="17"/>
  <c r="M177" i="17"/>
  <c r="K177" i="17"/>
  <c r="J177" i="17"/>
  <c r="H177" i="17"/>
  <c r="G177" i="17"/>
  <c r="F177" i="17"/>
  <c r="E177" i="17"/>
  <c r="C177" i="17"/>
  <c r="B177" i="17"/>
  <c r="P176" i="17"/>
  <c r="O176" i="17"/>
  <c r="N176" i="17"/>
  <c r="M176" i="17"/>
  <c r="K176" i="17"/>
  <c r="J176" i="17"/>
  <c r="H176" i="17"/>
  <c r="G176" i="17"/>
  <c r="F176" i="17"/>
  <c r="E176" i="17"/>
  <c r="C176" i="17"/>
  <c r="B176" i="17"/>
  <c r="P175" i="17"/>
  <c r="O175" i="17"/>
  <c r="N175" i="17"/>
  <c r="M175" i="17"/>
  <c r="K175" i="17"/>
  <c r="J175" i="17"/>
  <c r="H175" i="17"/>
  <c r="G175" i="17"/>
  <c r="F175" i="17"/>
  <c r="E175" i="17"/>
  <c r="C175" i="17"/>
  <c r="B175" i="17"/>
  <c r="P174" i="17"/>
  <c r="O174" i="17"/>
  <c r="N174" i="17"/>
  <c r="M174" i="17"/>
  <c r="K174" i="17"/>
  <c r="J174" i="17"/>
  <c r="H174" i="17"/>
  <c r="G174" i="17"/>
  <c r="F174" i="17"/>
  <c r="E174" i="17"/>
  <c r="C174" i="17"/>
  <c r="B174" i="17"/>
  <c r="P172" i="17"/>
  <c r="O172" i="17"/>
  <c r="N172" i="17"/>
  <c r="M172" i="17"/>
  <c r="K172" i="17"/>
  <c r="J172" i="17"/>
  <c r="H172" i="17"/>
  <c r="G172" i="17"/>
  <c r="F172" i="17"/>
  <c r="E172" i="17"/>
  <c r="C172" i="17"/>
  <c r="B172" i="17"/>
  <c r="P171" i="17"/>
  <c r="O171" i="17"/>
  <c r="N171" i="17"/>
  <c r="M171" i="17"/>
  <c r="K171" i="17"/>
  <c r="J171" i="17"/>
  <c r="H171" i="17"/>
  <c r="G171" i="17"/>
  <c r="F171" i="17"/>
  <c r="E171" i="17"/>
  <c r="C171" i="17"/>
  <c r="B171" i="17"/>
  <c r="P170" i="17"/>
  <c r="O170" i="17"/>
  <c r="N170" i="17"/>
  <c r="M170" i="17"/>
  <c r="K170" i="17"/>
  <c r="J170" i="17"/>
  <c r="H170" i="17"/>
  <c r="G170" i="17"/>
  <c r="F170" i="17"/>
  <c r="E170" i="17"/>
  <c r="C170" i="17"/>
  <c r="B170" i="17"/>
  <c r="P169" i="17"/>
  <c r="O169" i="17"/>
  <c r="N169" i="17"/>
  <c r="M169" i="17"/>
  <c r="K169" i="17"/>
  <c r="J169" i="17"/>
  <c r="H169" i="17"/>
  <c r="G169" i="17"/>
  <c r="F169" i="17"/>
  <c r="E169" i="17"/>
  <c r="C169" i="17"/>
  <c r="B169" i="17"/>
  <c r="P167" i="17"/>
  <c r="O167" i="17"/>
  <c r="N167" i="17"/>
  <c r="M167" i="17"/>
  <c r="K167" i="17"/>
  <c r="J167" i="17"/>
  <c r="F67" i="19" s="1"/>
  <c r="H167" i="17"/>
  <c r="G167" i="17"/>
  <c r="F167" i="17"/>
  <c r="E167" i="17"/>
  <c r="C167" i="17"/>
  <c r="B167" i="17"/>
  <c r="P166" i="17"/>
  <c r="O166" i="17"/>
  <c r="N166" i="17"/>
  <c r="M166" i="17"/>
  <c r="K166" i="17"/>
  <c r="J166" i="17"/>
  <c r="H166" i="17"/>
  <c r="G166" i="17"/>
  <c r="F166" i="17"/>
  <c r="E166" i="17"/>
  <c r="C166" i="17"/>
  <c r="B166" i="17"/>
  <c r="P165" i="17"/>
  <c r="O165" i="17"/>
  <c r="N165" i="17"/>
  <c r="M165" i="17"/>
  <c r="K165" i="17"/>
  <c r="J165" i="17"/>
  <c r="H165" i="17"/>
  <c r="G165" i="17"/>
  <c r="F165" i="17"/>
  <c r="E165" i="17"/>
  <c r="C165" i="17"/>
  <c r="B165" i="17"/>
  <c r="P164" i="17"/>
  <c r="O164" i="17"/>
  <c r="N164" i="17"/>
  <c r="M164" i="17"/>
  <c r="K164" i="17"/>
  <c r="J164" i="17"/>
  <c r="H164" i="17"/>
  <c r="G164" i="17"/>
  <c r="F164" i="17"/>
  <c r="E164" i="17"/>
  <c r="C164" i="17"/>
  <c r="B164" i="17"/>
  <c r="P151" i="17"/>
  <c r="O151" i="17"/>
  <c r="N151" i="17"/>
  <c r="M151" i="17"/>
  <c r="K151" i="17"/>
  <c r="J151" i="17"/>
  <c r="H151" i="17"/>
  <c r="G151" i="17"/>
  <c r="F151" i="17"/>
  <c r="E151" i="17"/>
  <c r="C151" i="17"/>
  <c r="B151" i="17"/>
  <c r="P150" i="17"/>
  <c r="O150" i="17"/>
  <c r="N150" i="17"/>
  <c r="M150" i="17"/>
  <c r="K150" i="17"/>
  <c r="J150" i="17"/>
  <c r="H150" i="17"/>
  <c r="G150" i="17"/>
  <c r="F150" i="17"/>
  <c r="E150" i="17"/>
  <c r="C150" i="17"/>
  <c r="B150" i="17"/>
  <c r="P149" i="17"/>
  <c r="O149" i="17"/>
  <c r="N149" i="17"/>
  <c r="M149" i="17"/>
  <c r="K149" i="17"/>
  <c r="J149" i="17"/>
  <c r="H149" i="17"/>
  <c r="G149" i="17"/>
  <c r="F149" i="17"/>
  <c r="E149" i="17"/>
  <c r="C149" i="17"/>
  <c r="B149" i="17"/>
  <c r="P148" i="17"/>
  <c r="O148" i="17"/>
  <c r="N148" i="17"/>
  <c r="M148" i="17"/>
  <c r="K148" i="17"/>
  <c r="J148" i="17"/>
  <c r="H148" i="17"/>
  <c r="G148" i="17"/>
  <c r="F148" i="17"/>
  <c r="E148" i="17"/>
  <c r="C148" i="17"/>
  <c r="B148" i="17"/>
  <c r="P146" i="17"/>
  <c r="O146" i="17"/>
  <c r="N146" i="17"/>
  <c r="M146" i="17"/>
  <c r="K146" i="17"/>
  <c r="J146" i="17"/>
  <c r="H146" i="17"/>
  <c r="G146" i="17"/>
  <c r="F146" i="17"/>
  <c r="E146" i="17"/>
  <c r="C146" i="17"/>
  <c r="B146" i="17"/>
  <c r="P145" i="17"/>
  <c r="O145" i="17"/>
  <c r="N145" i="17"/>
  <c r="M145" i="17"/>
  <c r="K145" i="17"/>
  <c r="J145" i="17"/>
  <c r="H145" i="17"/>
  <c r="G145" i="17"/>
  <c r="F145" i="17"/>
  <c r="E145" i="17"/>
  <c r="C145" i="17"/>
  <c r="B145" i="17"/>
  <c r="P144" i="17"/>
  <c r="O144" i="17"/>
  <c r="N144" i="17"/>
  <c r="M144" i="17"/>
  <c r="K144" i="17"/>
  <c r="J144" i="17"/>
  <c r="H144" i="17"/>
  <c r="G144" i="17"/>
  <c r="F144" i="17"/>
  <c r="E144" i="17"/>
  <c r="C144" i="17"/>
  <c r="B144" i="17"/>
  <c r="P143" i="17"/>
  <c r="O143" i="17"/>
  <c r="N143" i="17"/>
  <c r="M143" i="17"/>
  <c r="K143" i="17"/>
  <c r="J143" i="17"/>
  <c r="H143" i="17"/>
  <c r="G143" i="17"/>
  <c r="F143" i="17"/>
  <c r="E143" i="17"/>
  <c r="C143" i="17"/>
  <c r="B143" i="17"/>
  <c r="P141" i="17"/>
  <c r="O141" i="17"/>
  <c r="L141" i="17" s="1"/>
  <c r="E100" i="19" s="1"/>
  <c r="N141" i="17"/>
  <c r="M141" i="17"/>
  <c r="K141" i="17"/>
  <c r="J141" i="17"/>
  <c r="H141" i="17"/>
  <c r="G141" i="17"/>
  <c r="F141" i="17"/>
  <c r="E141" i="17"/>
  <c r="C141" i="17"/>
  <c r="B141" i="17"/>
  <c r="P140" i="17"/>
  <c r="O140" i="17"/>
  <c r="N140" i="17"/>
  <c r="M140" i="17"/>
  <c r="K140" i="17"/>
  <c r="J140" i="17"/>
  <c r="H140" i="17"/>
  <c r="G140" i="17"/>
  <c r="F140" i="17"/>
  <c r="E140" i="17"/>
  <c r="C140" i="17"/>
  <c r="B140" i="17"/>
  <c r="P139" i="17"/>
  <c r="O139" i="17"/>
  <c r="N139" i="17"/>
  <c r="M139" i="17"/>
  <c r="K139" i="17"/>
  <c r="J139" i="17"/>
  <c r="H139" i="17"/>
  <c r="G139" i="17"/>
  <c r="F139" i="17"/>
  <c r="E139" i="17"/>
  <c r="C139" i="17"/>
  <c r="B139" i="17"/>
  <c r="P138" i="17"/>
  <c r="O138" i="17"/>
  <c r="N138" i="17"/>
  <c r="M138" i="17"/>
  <c r="K138" i="17"/>
  <c r="J138" i="17"/>
  <c r="H138" i="17"/>
  <c r="G138" i="17"/>
  <c r="F138" i="17"/>
  <c r="E138" i="17"/>
  <c r="C138" i="17"/>
  <c r="B138" i="17"/>
  <c r="P136" i="17"/>
  <c r="O136" i="17"/>
  <c r="N136" i="17"/>
  <c r="M136" i="17"/>
  <c r="K136" i="17"/>
  <c r="J136" i="17"/>
  <c r="H136" i="17"/>
  <c r="G136" i="17"/>
  <c r="F136" i="17"/>
  <c r="E136" i="17"/>
  <c r="C136" i="17"/>
  <c r="B136" i="17"/>
  <c r="P135" i="17"/>
  <c r="O135" i="17"/>
  <c r="N135" i="17"/>
  <c r="M135" i="17"/>
  <c r="K135" i="17"/>
  <c r="J135" i="17"/>
  <c r="H135" i="17"/>
  <c r="G135" i="17"/>
  <c r="F135" i="17"/>
  <c r="E135" i="17"/>
  <c r="C135" i="17"/>
  <c r="B135" i="17"/>
  <c r="P134" i="17"/>
  <c r="O134" i="17"/>
  <c r="N134" i="17"/>
  <c r="M134" i="17"/>
  <c r="K134" i="17"/>
  <c r="J134" i="17"/>
  <c r="H134" i="17"/>
  <c r="G134" i="17"/>
  <c r="F134" i="17"/>
  <c r="E134" i="17"/>
  <c r="C134" i="17"/>
  <c r="B134" i="17"/>
  <c r="P133" i="17"/>
  <c r="O133" i="17"/>
  <c r="N133" i="17"/>
  <c r="M133" i="17"/>
  <c r="K133" i="17"/>
  <c r="J133" i="17"/>
  <c r="H133" i="17"/>
  <c r="G133" i="17"/>
  <c r="F133" i="17"/>
  <c r="E133" i="17"/>
  <c r="C133" i="17"/>
  <c r="B133" i="17"/>
  <c r="P120" i="17"/>
  <c r="O120" i="17"/>
  <c r="N120" i="17"/>
  <c r="M120" i="17"/>
  <c r="K120" i="17"/>
  <c r="J120" i="17"/>
  <c r="H120" i="17"/>
  <c r="G120" i="17"/>
  <c r="F120" i="17"/>
  <c r="E120" i="17"/>
  <c r="C120" i="17"/>
  <c r="B120" i="17"/>
  <c r="P119" i="17"/>
  <c r="O119" i="17"/>
  <c r="N119" i="17"/>
  <c r="M119" i="17"/>
  <c r="K119" i="17"/>
  <c r="J119" i="17"/>
  <c r="H119" i="17"/>
  <c r="G119" i="17"/>
  <c r="F119" i="17"/>
  <c r="E119" i="17"/>
  <c r="C119" i="17"/>
  <c r="B119" i="17"/>
  <c r="P118" i="17"/>
  <c r="O118" i="17"/>
  <c r="N118" i="17"/>
  <c r="M118" i="17"/>
  <c r="K118" i="17"/>
  <c r="J118" i="17"/>
  <c r="H118" i="17"/>
  <c r="G118" i="17"/>
  <c r="F118" i="17"/>
  <c r="E118" i="17"/>
  <c r="C118" i="17"/>
  <c r="B118" i="17"/>
  <c r="P117" i="17"/>
  <c r="O117" i="17"/>
  <c r="N117" i="17"/>
  <c r="M117" i="17"/>
  <c r="K117" i="17"/>
  <c r="J117" i="17"/>
  <c r="H117" i="17"/>
  <c r="G117" i="17"/>
  <c r="F117" i="17"/>
  <c r="E117" i="17"/>
  <c r="C117" i="17"/>
  <c r="B117" i="17"/>
  <c r="P115" i="17"/>
  <c r="O115" i="17"/>
  <c r="N115" i="17"/>
  <c r="M115" i="17"/>
  <c r="K115" i="17"/>
  <c r="J115" i="17"/>
  <c r="H115" i="17"/>
  <c r="G115" i="17"/>
  <c r="F115" i="17"/>
  <c r="E115" i="17"/>
  <c r="C115" i="17"/>
  <c r="B115" i="17"/>
  <c r="P114" i="17"/>
  <c r="O114" i="17"/>
  <c r="N114" i="17"/>
  <c r="M114" i="17"/>
  <c r="K114" i="17"/>
  <c r="J114" i="17"/>
  <c r="H114" i="17"/>
  <c r="G114" i="17"/>
  <c r="F114" i="17"/>
  <c r="E114" i="17"/>
  <c r="C114" i="17"/>
  <c r="B114" i="17"/>
  <c r="P113" i="17"/>
  <c r="O113" i="17"/>
  <c r="N113" i="17"/>
  <c r="M113" i="17"/>
  <c r="K113" i="17"/>
  <c r="J113" i="17"/>
  <c r="H113" i="17"/>
  <c r="G113" i="17"/>
  <c r="F113" i="17"/>
  <c r="E113" i="17"/>
  <c r="C113" i="17"/>
  <c r="B113" i="17"/>
  <c r="P112" i="17"/>
  <c r="O112" i="17"/>
  <c r="N112" i="17"/>
  <c r="M112" i="17"/>
  <c r="K112" i="17"/>
  <c r="J112" i="17"/>
  <c r="H112" i="17"/>
  <c r="G112" i="17"/>
  <c r="F112" i="17"/>
  <c r="E112" i="17"/>
  <c r="C112" i="17"/>
  <c r="B112" i="17"/>
  <c r="P110" i="17"/>
  <c r="O110" i="17"/>
  <c r="N110" i="17"/>
  <c r="M110" i="17"/>
  <c r="K110" i="17"/>
  <c r="J110" i="17"/>
  <c r="H110" i="17"/>
  <c r="G110" i="17"/>
  <c r="F110" i="17"/>
  <c r="E110" i="17"/>
  <c r="C110" i="17"/>
  <c r="B110" i="17"/>
  <c r="P109" i="17"/>
  <c r="O109" i="17"/>
  <c r="N109" i="17"/>
  <c r="M109" i="17"/>
  <c r="K109" i="17"/>
  <c r="J109" i="17"/>
  <c r="H109" i="17"/>
  <c r="G109" i="17"/>
  <c r="F109" i="17"/>
  <c r="E109" i="17"/>
  <c r="C109" i="17"/>
  <c r="B109" i="17"/>
  <c r="P108" i="17"/>
  <c r="O108" i="17"/>
  <c r="N108" i="17"/>
  <c r="M108" i="17"/>
  <c r="K108" i="17"/>
  <c r="J108" i="17"/>
  <c r="H108" i="17"/>
  <c r="G108" i="17"/>
  <c r="F108" i="17"/>
  <c r="E108" i="17"/>
  <c r="C108" i="17"/>
  <c r="B108" i="17"/>
  <c r="P107" i="17"/>
  <c r="O107" i="17"/>
  <c r="N107" i="17"/>
  <c r="M107" i="17"/>
  <c r="K107" i="17"/>
  <c r="J107" i="17"/>
  <c r="H107" i="17"/>
  <c r="G107" i="17"/>
  <c r="F107" i="17"/>
  <c r="E107" i="17"/>
  <c r="C107" i="17"/>
  <c r="B107" i="17"/>
  <c r="P105" i="17"/>
  <c r="O105" i="17"/>
  <c r="N105" i="17"/>
  <c r="M105" i="17"/>
  <c r="K105" i="17"/>
  <c r="J105" i="17"/>
  <c r="H105" i="17"/>
  <c r="G105" i="17"/>
  <c r="F105" i="17"/>
  <c r="E105" i="17"/>
  <c r="C105" i="17"/>
  <c r="B105" i="17"/>
  <c r="D10" i="19" s="1"/>
  <c r="P104" i="17"/>
  <c r="O104" i="17"/>
  <c r="N104" i="17"/>
  <c r="M104" i="17"/>
  <c r="K104" i="17"/>
  <c r="J104" i="17"/>
  <c r="H104" i="17"/>
  <c r="G104" i="17"/>
  <c r="F104" i="17"/>
  <c r="E104" i="17"/>
  <c r="C104" i="17"/>
  <c r="B104" i="17"/>
  <c r="P103" i="17"/>
  <c r="O103" i="17"/>
  <c r="N103" i="17"/>
  <c r="M103" i="17"/>
  <c r="K103" i="17"/>
  <c r="J103" i="17"/>
  <c r="H103" i="17"/>
  <c r="G103" i="17"/>
  <c r="F103" i="17"/>
  <c r="E103" i="17"/>
  <c r="C103" i="17"/>
  <c r="B103" i="17"/>
  <c r="P102" i="17"/>
  <c r="O102" i="17"/>
  <c r="N102" i="17"/>
  <c r="M102" i="17"/>
  <c r="K102" i="17"/>
  <c r="J102" i="17"/>
  <c r="H102" i="17"/>
  <c r="G102" i="17"/>
  <c r="F102" i="17"/>
  <c r="E102" i="17"/>
  <c r="C102" i="17"/>
  <c r="B102" i="17"/>
  <c r="P90" i="17"/>
  <c r="O90" i="17"/>
  <c r="N90" i="17"/>
  <c r="M90" i="17"/>
  <c r="K90" i="17"/>
  <c r="J90" i="17"/>
  <c r="H90" i="17"/>
  <c r="G90" i="17"/>
  <c r="F90" i="17"/>
  <c r="E90" i="17"/>
  <c r="C90" i="17"/>
  <c r="B90" i="17"/>
  <c r="P89" i="17"/>
  <c r="O89" i="17"/>
  <c r="N89" i="17"/>
  <c r="M89" i="17"/>
  <c r="K89" i="17"/>
  <c r="J89" i="17"/>
  <c r="H89" i="17"/>
  <c r="G89" i="17"/>
  <c r="F89" i="17"/>
  <c r="E89" i="17"/>
  <c r="C89" i="17"/>
  <c r="B89" i="17"/>
  <c r="P88" i="17"/>
  <c r="O88" i="17"/>
  <c r="N88" i="17"/>
  <c r="M88" i="17"/>
  <c r="K88" i="17"/>
  <c r="J88" i="17"/>
  <c r="H88" i="17"/>
  <c r="G88" i="17"/>
  <c r="F88" i="17"/>
  <c r="E88" i="17"/>
  <c r="C88" i="17"/>
  <c r="B88" i="17"/>
  <c r="P87" i="17"/>
  <c r="O87" i="17"/>
  <c r="N87" i="17"/>
  <c r="M87" i="17"/>
  <c r="K87" i="17"/>
  <c r="J87" i="17"/>
  <c r="H87" i="17"/>
  <c r="G87" i="17"/>
  <c r="F87" i="17"/>
  <c r="E87" i="17"/>
  <c r="C87" i="17"/>
  <c r="B87" i="17"/>
  <c r="P85" i="17"/>
  <c r="O85" i="17"/>
  <c r="N85" i="17"/>
  <c r="M85" i="17"/>
  <c r="K85" i="17"/>
  <c r="J85" i="17"/>
  <c r="H85" i="17"/>
  <c r="G85" i="17"/>
  <c r="F85" i="17"/>
  <c r="E85" i="17"/>
  <c r="C85" i="17"/>
  <c r="B85" i="17"/>
  <c r="P84" i="17"/>
  <c r="O84" i="17"/>
  <c r="N84" i="17"/>
  <c r="M84" i="17"/>
  <c r="K84" i="17"/>
  <c r="J84" i="17"/>
  <c r="H84" i="17"/>
  <c r="G84" i="17"/>
  <c r="F84" i="17"/>
  <c r="E84" i="17"/>
  <c r="C84" i="17"/>
  <c r="B84" i="17"/>
  <c r="P83" i="17"/>
  <c r="O83" i="17"/>
  <c r="N83" i="17"/>
  <c r="M83" i="17"/>
  <c r="K83" i="17"/>
  <c r="J83" i="17"/>
  <c r="H83" i="17"/>
  <c r="G83" i="17"/>
  <c r="F83" i="17"/>
  <c r="E83" i="17"/>
  <c r="C83" i="17"/>
  <c r="B83" i="17"/>
  <c r="C18" i="19" s="1"/>
  <c r="P82" i="17"/>
  <c r="O82" i="17"/>
  <c r="N82" i="17"/>
  <c r="M82" i="17"/>
  <c r="K82" i="17"/>
  <c r="J82" i="17"/>
  <c r="H82" i="17"/>
  <c r="G82" i="17"/>
  <c r="F82" i="17"/>
  <c r="E82" i="17"/>
  <c r="C82" i="17"/>
  <c r="B82" i="17"/>
  <c r="P80" i="17"/>
  <c r="O80" i="17"/>
  <c r="N80" i="17"/>
  <c r="M80" i="17"/>
  <c r="K80" i="17"/>
  <c r="J80" i="17"/>
  <c r="H80" i="17"/>
  <c r="G80" i="17"/>
  <c r="F80" i="17"/>
  <c r="E80" i="17"/>
  <c r="C80" i="17"/>
  <c r="B80" i="17"/>
  <c r="C15" i="19" s="1"/>
  <c r="P79" i="17"/>
  <c r="O79" i="17"/>
  <c r="N79" i="17"/>
  <c r="M79" i="17"/>
  <c r="K79" i="17"/>
  <c r="J79" i="17"/>
  <c r="H79" i="17"/>
  <c r="G79" i="17"/>
  <c r="F79" i="17"/>
  <c r="E79" i="17"/>
  <c r="C79" i="17"/>
  <c r="B79" i="17"/>
  <c r="P78" i="17"/>
  <c r="O78" i="17"/>
  <c r="N78" i="17"/>
  <c r="M78" i="17"/>
  <c r="K78" i="17"/>
  <c r="J78" i="17"/>
  <c r="H78" i="17"/>
  <c r="G78" i="17"/>
  <c r="F78" i="17"/>
  <c r="E78" i="17"/>
  <c r="C78" i="17"/>
  <c r="B78" i="17"/>
  <c r="C13" i="19" s="1"/>
  <c r="P77" i="17"/>
  <c r="O77" i="17"/>
  <c r="N77" i="17"/>
  <c r="M77" i="17"/>
  <c r="K77" i="17"/>
  <c r="J77" i="17"/>
  <c r="H77" i="17"/>
  <c r="G77" i="17"/>
  <c r="F77" i="17"/>
  <c r="E77" i="17"/>
  <c r="C77" i="17"/>
  <c r="B77" i="17"/>
  <c r="P75" i="17"/>
  <c r="O75" i="17"/>
  <c r="N75" i="17"/>
  <c r="M75" i="17"/>
  <c r="K75" i="17"/>
  <c r="J75" i="17"/>
  <c r="H75" i="17"/>
  <c r="G75" i="17"/>
  <c r="F75" i="17"/>
  <c r="E75" i="17"/>
  <c r="C75" i="17"/>
  <c r="B75" i="17"/>
  <c r="C10" i="19" s="1"/>
  <c r="P74" i="17"/>
  <c r="O74" i="17"/>
  <c r="N74" i="17"/>
  <c r="M74" i="17"/>
  <c r="K74" i="17"/>
  <c r="J74" i="17"/>
  <c r="H74" i="17"/>
  <c r="G74" i="17"/>
  <c r="F74" i="17"/>
  <c r="E74" i="17"/>
  <c r="C74" i="17"/>
  <c r="B74" i="17"/>
  <c r="P73" i="17"/>
  <c r="O73" i="17"/>
  <c r="N73" i="17"/>
  <c r="M73" i="17"/>
  <c r="K73" i="17"/>
  <c r="J73" i="17"/>
  <c r="H73" i="17"/>
  <c r="G73" i="17"/>
  <c r="F73" i="17"/>
  <c r="E73" i="17"/>
  <c r="C73" i="17"/>
  <c r="B73" i="17"/>
  <c r="C8" i="19" s="1"/>
  <c r="P72" i="17"/>
  <c r="O72" i="17"/>
  <c r="N72" i="17"/>
  <c r="M72" i="17"/>
  <c r="K72" i="17"/>
  <c r="J72" i="17"/>
  <c r="H72" i="17"/>
  <c r="G72" i="17"/>
  <c r="F72" i="17"/>
  <c r="E72" i="17"/>
  <c r="C72" i="17"/>
  <c r="B72" i="17"/>
  <c r="P59" i="17"/>
  <c r="O59" i="17"/>
  <c r="N59" i="17"/>
  <c r="M59" i="17"/>
  <c r="K59" i="17"/>
  <c r="J59" i="17"/>
  <c r="H59" i="17"/>
  <c r="G59" i="17"/>
  <c r="F59" i="17"/>
  <c r="E59" i="17"/>
  <c r="C59" i="17"/>
  <c r="B59" i="17"/>
  <c r="B25" i="19" s="1"/>
  <c r="P58" i="17"/>
  <c r="O58" i="17"/>
  <c r="N58" i="17"/>
  <c r="M58" i="17"/>
  <c r="K58" i="17"/>
  <c r="J58" i="17"/>
  <c r="H58" i="17"/>
  <c r="G58" i="17"/>
  <c r="F58" i="17"/>
  <c r="E58" i="17"/>
  <c r="C58" i="17"/>
  <c r="B58" i="17"/>
  <c r="P57" i="17"/>
  <c r="O57" i="17"/>
  <c r="N57" i="17"/>
  <c r="M57" i="17"/>
  <c r="K57" i="17"/>
  <c r="J57" i="17"/>
  <c r="H57" i="17"/>
  <c r="G57" i="17"/>
  <c r="F57" i="17"/>
  <c r="E57" i="17"/>
  <c r="C57" i="17"/>
  <c r="B57" i="17"/>
  <c r="B23" i="19" s="1"/>
  <c r="P56" i="17"/>
  <c r="O56" i="17"/>
  <c r="N56" i="17"/>
  <c r="M56" i="17"/>
  <c r="K56" i="17"/>
  <c r="J56" i="17"/>
  <c r="H56" i="17"/>
  <c r="G56" i="17"/>
  <c r="F56" i="17"/>
  <c r="E56" i="17"/>
  <c r="C56" i="17"/>
  <c r="B56" i="17"/>
  <c r="P54" i="17"/>
  <c r="O54" i="17"/>
  <c r="N54" i="17"/>
  <c r="M54" i="17"/>
  <c r="K54" i="17"/>
  <c r="J54" i="17"/>
  <c r="H54" i="17"/>
  <c r="G54" i="17"/>
  <c r="F54" i="17"/>
  <c r="E54" i="17"/>
  <c r="C54" i="17"/>
  <c r="B54" i="17"/>
  <c r="B20" i="19" s="1"/>
  <c r="P53" i="17"/>
  <c r="O53" i="17"/>
  <c r="N53" i="17"/>
  <c r="M53" i="17"/>
  <c r="K53" i="17"/>
  <c r="J53" i="17"/>
  <c r="H53" i="17"/>
  <c r="G53" i="17"/>
  <c r="F53" i="17"/>
  <c r="E53" i="17"/>
  <c r="C53" i="17"/>
  <c r="B53" i="17"/>
  <c r="P52" i="17"/>
  <c r="O52" i="17"/>
  <c r="N52" i="17"/>
  <c r="M52" i="17"/>
  <c r="K52" i="17"/>
  <c r="J52" i="17"/>
  <c r="H52" i="17"/>
  <c r="G52" i="17"/>
  <c r="F52" i="17"/>
  <c r="E52" i="17"/>
  <c r="C52" i="17"/>
  <c r="B52" i="17"/>
  <c r="B18" i="19" s="1"/>
  <c r="P51" i="17"/>
  <c r="O51" i="17"/>
  <c r="N51" i="17"/>
  <c r="M51" i="17"/>
  <c r="K51" i="17"/>
  <c r="J51" i="17"/>
  <c r="H51" i="17"/>
  <c r="G51" i="17"/>
  <c r="F51" i="17"/>
  <c r="E51" i="17"/>
  <c r="C51" i="17"/>
  <c r="B51" i="17"/>
  <c r="P49" i="17"/>
  <c r="O49" i="17"/>
  <c r="N49" i="17"/>
  <c r="M49" i="17"/>
  <c r="K49" i="17"/>
  <c r="J49" i="17"/>
  <c r="H49" i="17"/>
  <c r="G49" i="17"/>
  <c r="F49" i="17"/>
  <c r="E49" i="17"/>
  <c r="C49" i="17"/>
  <c r="B49" i="17"/>
  <c r="P48" i="17"/>
  <c r="O48" i="17"/>
  <c r="N48" i="17"/>
  <c r="M48" i="17"/>
  <c r="K48" i="17"/>
  <c r="J48" i="17"/>
  <c r="H48" i="17"/>
  <c r="G48" i="17"/>
  <c r="F48" i="17"/>
  <c r="E48" i="17"/>
  <c r="C48" i="17"/>
  <c r="B48" i="17"/>
  <c r="P47" i="17"/>
  <c r="O47" i="17"/>
  <c r="N47" i="17"/>
  <c r="M47" i="17"/>
  <c r="K47" i="17"/>
  <c r="J47" i="17"/>
  <c r="H47" i="17"/>
  <c r="G47" i="17"/>
  <c r="F47" i="17"/>
  <c r="E47" i="17"/>
  <c r="C47" i="17"/>
  <c r="B47" i="17"/>
  <c r="P46" i="17"/>
  <c r="O46" i="17"/>
  <c r="N46" i="17"/>
  <c r="M46" i="17"/>
  <c r="K46" i="17"/>
  <c r="J46" i="17"/>
  <c r="H46" i="17"/>
  <c r="G46" i="17"/>
  <c r="F46" i="17"/>
  <c r="E46" i="17"/>
  <c r="C46" i="17"/>
  <c r="B46" i="17"/>
  <c r="P44" i="17"/>
  <c r="O44" i="17"/>
  <c r="N44" i="17"/>
  <c r="M44" i="17"/>
  <c r="K44" i="17"/>
  <c r="J44" i="17"/>
  <c r="H44" i="17"/>
  <c r="G44" i="17"/>
  <c r="F44" i="17"/>
  <c r="E44" i="17"/>
  <c r="C44" i="17"/>
  <c r="B44" i="17"/>
  <c r="P43" i="17"/>
  <c r="O43" i="17"/>
  <c r="N43" i="17"/>
  <c r="M43" i="17"/>
  <c r="K43" i="17"/>
  <c r="J43" i="17"/>
  <c r="H43" i="17"/>
  <c r="G43" i="17"/>
  <c r="F43" i="17"/>
  <c r="E43" i="17"/>
  <c r="C43" i="17"/>
  <c r="B43" i="17"/>
  <c r="P42" i="17"/>
  <c r="O42" i="17"/>
  <c r="N42" i="17"/>
  <c r="M42" i="17"/>
  <c r="K42" i="17"/>
  <c r="J42" i="17"/>
  <c r="H42" i="17"/>
  <c r="G42" i="17"/>
  <c r="F42" i="17"/>
  <c r="E42" i="17"/>
  <c r="C42" i="17"/>
  <c r="B42" i="17"/>
  <c r="P41" i="17"/>
  <c r="O41" i="17"/>
  <c r="N41" i="17"/>
  <c r="M41" i="17"/>
  <c r="K41" i="17"/>
  <c r="J41" i="17"/>
  <c r="H41" i="17"/>
  <c r="G41" i="17"/>
  <c r="F41" i="17"/>
  <c r="E41" i="17"/>
  <c r="C41" i="17"/>
  <c r="B41" i="17"/>
  <c r="P27" i="17"/>
  <c r="O27" i="17"/>
  <c r="N27" i="17"/>
  <c r="M27" i="17"/>
  <c r="K27" i="17"/>
  <c r="J27" i="17"/>
  <c r="H27" i="17"/>
  <c r="G27" i="17"/>
  <c r="F27" i="17"/>
  <c r="E27" i="17"/>
  <c r="C27" i="17"/>
  <c r="B27" i="17"/>
  <c r="P26" i="17"/>
  <c r="O26" i="17"/>
  <c r="N26" i="17"/>
  <c r="M26" i="17"/>
  <c r="K26" i="17"/>
  <c r="J26" i="17"/>
  <c r="H26" i="17"/>
  <c r="G26" i="17"/>
  <c r="F26" i="17"/>
  <c r="E26" i="17"/>
  <c r="C26" i="17"/>
  <c r="B26" i="17"/>
  <c r="P25" i="17"/>
  <c r="O25" i="17"/>
  <c r="N25" i="17"/>
  <c r="M25" i="17"/>
  <c r="K25" i="17"/>
  <c r="J25" i="17"/>
  <c r="H25" i="17"/>
  <c r="G25" i="17"/>
  <c r="F25" i="17"/>
  <c r="E25" i="17"/>
  <c r="C25" i="17"/>
  <c r="B25" i="17"/>
  <c r="P24" i="17"/>
  <c r="O24" i="17"/>
  <c r="N24" i="17"/>
  <c r="M24" i="17"/>
  <c r="K24" i="17"/>
  <c r="J24" i="17"/>
  <c r="H24" i="17"/>
  <c r="G24" i="17"/>
  <c r="F24" i="17"/>
  <c r="E24" i="17"/>
  <c r="C24" i="17"/>
  <c r="B24" i="17"/>
  <c r="P22" i="17"/>
  <c r="O22" i="17"/>
  <c r="N22" i="17"/>
  <c r="M22" i="17"/>
  <c r="K22" i="17"/>
  <c r="J22" i="17"/>
  <c r="H22" i="17"/>
  <c r="G22" i="17"/>
  <c r="F22" i="17"/>
  <c r="E22" i="17"/>
  <c r="C22" i="17"/>
  <c r="B22" i="17"/>
  <c r="P21" i="17"/>
  <c r="O21" i="17"/>
  <c r="N21" i="17"/>
  <c r="M21" i="17"/>
  <c r="K21" i="17"/>
  <c r="J21" i="17"/>
  <c r="H21" i="17"/>
  <c r="G21" i="17"/>
  <c r="F21" i="17"/>
  <c r="E21" i="17"/>
  <c r="C21" i="17"/>
  <c r="B21" i="17"/>
  <c r="P20" i="17"/>
  <c r="O20" i="17"/>
  <c r="N20" i="17"/>
  <c r="M20" i="17"/>
  <c r="K20" i="17"/>
  <c r="J20" i="17"/>
  <c r="H20" i="17"/>
  <c r="G20" i="17"/>
  <c r="F20" i="17"/>
  <c r="E20" i="17"/>
  <c r="C20" i="17"/>
  <c r="B20" i="17"/>
  <c r="P19" i="17"/>
  <c r="O19" i="17"/>
  <c r="N19" i="17"/>
  <c r="M19" i="17"/>
  <c r="K19" i="17"/>
  <c r="J19" i="17"/>
  <c r="H19" i="17"/>
  <c r="G19" i="17"/>
  <c r="F19" i="17"/>
  <c r="E19" i="17"/>
  <c r="C19" i="17"/>
  <c r="B19" i="17"/>
  <c r="P17" i="17"/>
  <c r="O17" i="17"/>
  <c r="N17" i="17"/>
  <c r="M17" i="17"/>
  <c r="K17" i="17"/>
  <c r="J17" i="17"/>
  <c r="H17" i="17"/>
  <c r="G17" i="17"/>
  <c r="F17" i="17"/>
  <c r="E17" i="17"/>
  <c r="C17" i="17"/>
  <c r="B17" i="17"/>
  <c r="P16" i="17"/>
  <c r="O16" i="17"/>
  <c r="N16" i="17"/>
  <c r="M16" i="17"/>
  <c r="K16" i="17"/>
  <c r="J16" i="17"/>
  <c r="H16" i="17"/>
  <c r="G16" i="17"/>
  <c r="F16" i="17"/>
  <c r="E16" i="17"/>
  <c r="C16" i="17"/>
  <c r="B16" i="17"/>
  <c r="P15" i="17"/>
  <c r="O15" i="17"/>
  <c r="N15" i="17"/>
  <c r="M15" i="17"/>
  <c r="K15" i="17"/>
  <c r="J15" i="17"/>
  <c r="H70" i="19" s="1"/>
  <c r="H15" i="17"/>
  <c r="G15" i="17"/>
  <c r="F15" i="17"/>
  <c r="E15" i="17"/>
  <c r="C15" i="17"/>
  <c r="B15" i="17"/>
  <c r="P14" i="17"/>
  <c r="O14" i="17"/>
  <c r="N14" i="17"/>
  <c r="M14" i="17"/>
  <c r="K14" i="17"/>
  <c r="J14" i="17"/>
  <c r="H14" i="17"/>
  <c r="G14" i="17"/>
  <c r="F14" i="17"/>
  <c r="E14" i="17"/>
  <c r="C14" i="17"/>
  <c r="B14" i="17"/>
  <c r="P12" i="17"/>
  <c r="O12" i="17"/>
  <c r="N12" i="17"/>
  <c r="M12" i="17"/>
  <c r="K12" i="17"/>
  <c r="J12" i="17"/>
  <c r="H12" i="17"/>
  <c r="G12" i="17"/>
  <c r="F12" i="17"/>
  <c r="E12" i="17"/>
  <c r="C12" i="17"/>
  <c r="B12" i="17"/>
  <c r="P11" i="17"/>
  <c r="O11" i="17"/>
  <c r="N11" i="17"/>
  <c r="M11" i="17"/>
  <c r="K11" i="17"/>
  <c r="J11" i="17"/>
  <c r="H11" i="17"/>
  <c r="G11" i="17"/>
  <c r="F11" i="17"/>
  <c r="E11" i="17"/>
  <c r="C11" i="17"/>
  <c r="B11" i="17"/>
  <c r="P10" i="17"/>
  <c r="O10" i="17"/>
  <c r="N10" i="17"/>
  <c r="M10" i="17"/>
  <c r="K10" i="17"/>
  <c r="J10" i="17"/>
  <c r="H10" i="17"/>
  <c r="G10" i="17"/>
  <c r="F10" i="17"/>
  <c r="E10" i="17"/>
  <c r="C10" i="17"/>
  <c r="B10" i="17"/>
  <c r="P9" i="17"/>
  <c r="O9" i="17"/>
  <c r="N9" i="17"/>
  <c r="M9" i="17"/>
  <c r="K9" i="17"/>
  <c r="J9" i="17"/>
  <c r="H9" i="17"/>
  <c r="G9" i="17"/>
  <c r="F9" i="17"/>
  <c r="E9" i="17"/>
  <c r="C9" i="17"/>
  <c r="B9" i="17"/>
  <c r="Q454" i="17"/>
  <c r="Q449" i="17"/>
  <c r="Q444" i="17"/>
  <c r="Q439" i="17"/>
  <c r="Q438" i="17"/>
  <c r="Q437" i="17"/>
  <c r="Q436" i="17"/>
  <c r="Q435" i="17"/>
  <c r="Q434" i="17"/>
  <c r="Q433" i="17"/>
  <c r="Q432" i="17"/>
  <c r="Q431" i="17"/>
  <c r="Q430" i="17"/>
  <c r="Q429" i="17"/>
  <c r="Q424" i="17"/>
  <c r="Q419" i="17"/>
  <c r="Q414" i="17"/>
  <c r="Q409" i="17"/>
  <c r="Q408" i="17"/>
  <c r="Q407" i="17"/>
  <c r="Q406" i="17"/>
  <c r="Q405" i="17"/>
  <c r="Q404" i="17"/>
  <c r="Q403" i="17"/>
  <c r="Q402" i="17"/>
  <c r="Q401" i="17"/>
  <c r="Q400" i="17"/>
  <c r="Q399" i="17"/>
  <c r="Q394" i="17"/>
  <c r="Q389" i="17"/>
  <c r="Q384" i="17"/>
  <c r="Q379" i="17"/>
  <c r="Q378" i="17"/>
  <c r="Q377" i="17"/>
  <c r="Q376" i="17"/>
  <c r="Q375" i="17"/>
  <c r="Q374" i="17"/>
  <c r="Q373" i="17"/>
  <c r="Q372" i="17"/>
  <c r="Q371" i="17"/>
  <c r="Q370" i="17"/>
  <c r="Q369" i="17"/>
  <c r="Q368" i="17"/>
  <c r="Q363" i="17"/>
  <c r="Q358" i="17"/>
  <c r="Q353" i="17"/>
  <c r="Q348" i="17"/>
  <c r="Q347" i="17"/>
  <c r="Q346" i="17"/>
  <c r="Q345" i="17"/>
  <c r="Q344" i="17"/>
  <c r="Q343" i="17"/>
  <c r="Q342" i="17"/>
  <c r="Q341" i="17"/>
  <c r="Q340" i="17"/>
  <c r="Q338" i="17"/>
  <c r="Q337" i="17"/>
  <c r="Q332" i="17"/>
  <c r="Q327" i="17"/>
  <c r="Q322" i="17"/>
  <c r="Q317" i="17"/>
  <c r="Q316" i="17"/>
  <c r="Q315" i="17"/>
  <c r="Q314" i="17"/>
  <c r="Q313" i="17"/>
  <c r="Q312" i="17"/>
  <c r="Q311" i="17"/>
  <c r="Q310" i="17"/>
  <c r="Q309" i="17"/>
  <c r="Q308" i="17"/>
  <c r="Q307" i="17"/>
  <c r="Q306" i="17"/>
  <c r="Q301" i="17"/>
  <c r="Q296" i="17"/>
  <c r="Q291" i="17"/>
  <c r="Q286" i="17"/>
  <c r="Q285" i="17"/>
  <c r="Q284" i="17"/>
  <c r="Q283" i="17"/>
  <c r="Q282" i="17"/>
  <c r="Q281" i="17"/>
  <c r="Q280" i="17"/>
  <c r="Q279" i="17"/>
  <c r="Q278" i="17"/>
  <c r="Q277" i="17"/>
  <c r="Q276" i="17"/>
  <c r="Q275" i="17"/>
  <c r="Q270" i="17"/>
  <c r="Q265" i="17"/>
  <c r="Q260" i="17"/>
  <c r="Q255" i="17"/>
  <c r="Q254" i="17"/>
  <c r="Q253" i="17"/>
  <c r="Q252" i="17"/>
  <c r="Q251" i="17"/>
  <c r="Q250" i="17"/>
  <c r="Q249" i="17"/>
  <c r="Q248" i="17"/>
  <c r="Q247" i="17"/>
  <c r="Q246" i="17"/>
  <c r="Q245" i="17"/>
  <c r="Q244" i="17"/>
  <c r="Q239" i="17"/>
  <c r="Q234" i="17"/>
  <c r="Q229" i="17"/>
  <c r="Q224" i="17"/>
  <c r="Q223" i="17"/>
  <c r="Q222" i="17"/>
  <c r="Q221" i="17"/>
  <c r="Q220" i="17"/>
  <c r="Q219" i="17"/>
  <c r="Q218" i="17"/>
  <c r="Q217" i="17"/>
  <c r="R216" i="17"/>
  <c r="Q216" i="17"/>
  <c r="R214" i="17"/>
  <c r="Q214" i="17"/>
  <c r="R213" i="17"/>
  <c r="Q213" i="17"/>
  <c r="R208" i="17"/>
  <c r="Q208" i="17"/>
  <c r="R203" i="17"/>
  <c r="Q203" i="17"/>
  <c r="R198" i="17"/>
  <c r="Q198" i="17"/>
  <c r="R178" i="17"/>
  <c r="Q178" i="17"/>
  <c r="R173" i="17"/>
  <c r="Q173" i="17"/>
  <c r="R168" i="17"/>
  <c r="Q168" i="17"/>
  <c r="R147" i="17"/>
  <c r="Q147" i="17"/>
  <c r="R142" i="17"/>
  <c r="Q142" i="17"/>
  <c r="R137" i="17"/>
  <c r="Q137" i="17"/>
  <c r="R116" i="17"/>
  <c r="Q116" i="17"/>
  <c r="R111" i="17"/>
  <c r="Q111" i="17"/>
  <c r="R106" i="17"/>
  <c r="Q106" i="17"/>
  <c r="R86" i="17"/>
  <c r="Q86" i="17"/>
  <c r="R81" i="17"/>
  <c r="Q81" i="17"/>
  <c r="R76" i="17"/>
  <c r="Q76" i="17"/>
  <c r="R55" i="17"/>
  <c r="Q55" i="17"/>
  <c r="R50" i="17"/>
  <c r="Q50" i="17"/>
  <c r="R45" i="17"/>
  <c r="Q45" i="17"/>
  <c r="R23" i="17"/>
  <c r="Q23" i="17"/>
  <c r="R18" i="17"/>
  <c r="Q18" i="17"/>
  <c r="R13" i="17"/>
  <c r="Q13" i="17"/>
  <c r="L12" i="18" l="1"/>
  <c r="H97" i="20" s="1"/>
  <c r="L15" i="18"/>
  <c r="L20" i="18"/>
  <c r="H105" i="20" s="1"/>
  <c r="L25" i="18"/>
  <c r="H110" i="20" s="1"/>
  <c r="L49" i="18"/>
  <c r="B102" i="20" s="1"/>
  <c r="L57" i="18"/>
  <c r="B110" i="20" s="1"/>
  <c r="L103" i="18"/>
  <c r="D95" i="20" s="1"/>
  <c r="L115" i="18"/>
  <c r="D107" i="20" s="1"/>
  <c r="L136" i="18"/>
  <c r="E97" i="20" s="1"/>
  <c r="L139" i="18"/>
  <c r="L141" i="18"/>
  <c r="E102" i="20" s="1"/>
  <c r="L149" i="18"/>
  <c r="E110" i="20" s="1"/>
  <c r="L151" i="18"/>
  <c r="E112" i="20" s="1"/>
  <c r="L172" i="18"/>
  <c r="F102" i="20" s="1"/>
  <c r="L177" i="18"/>
  <c r="F107" i="20" s="1"/>
  <c r="L180" i="18"/>
  <c r="F110" i="20" s="1"/>
  <c r="L197" i="18"/>
  <c r="G97" i="20" s="1"/>
  <c r="L202" i="18"/>
  <c r="G102" i="20" s="1"/>
  <c r="L207" i="18"/>
  <c r="L212" i="18"/>
  <c r="G112" i="20" s="1"/>
  <c r="D228" i="18"/>
  <c r="M38" i="20" s="1"/>
  <c r="D238" i="18"/>
  <c r="M48" i="20" s="1"/>
  <c r="R48" i="20" s="1"/>
  <c r="D243" i="18"/>
  <c r="Q243" i="18" s="1"/>
  <c r="D259" i="18"/>
  <c r="I38" i="20" s="1"/>
  <c r="D295" i="18"/>
  <c r="D321" i="18"/>
  <c r="K38" i="20" s="1"/>
  <c r="D326" i="18"/>
  <c r="K43" i="20" s="1"/>
  <c r="D352" i="18"/>
  <c r="L38" i="20" s="1"/>
  <c r="D367" i="18"/>
  <c r="L53" i="20" s="1"/>
  <c r="D383" i="18"/>
  <c r="P38" i="20" s="1"/>
  <c r="D398" i="18"/>
  <c r="P53" i="20" s="1"/>
  <c r="D413" i="18"/>
  <c r="Q413" i="18" s="1"/>
  <c r="D428" i="18"/>
  <c r="N53" i="20" s="1"/>
  <c r="M15" i="19"/>
  <c r="D15" i="19"/>
  <c r="D18" i="19"/>
  <c r="E8" i="19"/>
  <c r="E13" i="19"/>
  <c r="E18" i="19"/>
  <c r="E20" i="19"/>
  <c r="E23" i="19"/>
  <c r="F10" i="19"/>
  <c r="H64" i="19"/>
  <c r="H66" i="19"/>
  <c r="H69" i="19"/>
  <c r="H71" i="19"/>
  <c r="H74" i="19"/>
  <c r="H76" i="19"/>
  <c r="H79" i="19"/>
  <c r="H81" i="19"/>
  <c r="B64" i="19"/>
  <c r="B66" i="19"/>
  <c r="B69" i="19"/>
  <c r="B71" i="19"/>
  <c r="B74" i="19"/>
  <c r="B76" i="19"/>
  <c r="B79" i="19"/>
  <c r="B81" i="19"/>
  <c r="C64" i="19"/>
  <c r="C66" i="19"/>
  <c r="C69" i="19"/>
  <c r="C71" i="19"/>
  <c r="C74" i="19"/>
  <c r="C76" i="19"/>
  <c r="C79" i="19"/>
  <c r="C81" i="19"/>
  <c r="D64" i="19"/>
  <c r="D66" i="19"/>
  <c r="D69" i="19"/>
  <c r="D71" i="19"/>
  <c r="D74" i="19"/>
  <c r="D76" i="19"/>
  <c r="D79" i="19"/>
  <c r="D81" i="19"/>
  <c r="E64" i="19"/>
  <c r="E66" i="19"/>
  <c r="E69" i="19"/>
  <c r="E71" i="19"/>
  <c r="E74" i="19"/>
  <c r="E76" i="19"/>
  <c r="E79" i="19"/>
  <c r="E81" i="19"/>
  <c r="F64" i="19"/>
  <c r="F66" i="19"/>
  <c r="F69" i="19"/>
  <c r="F71" i="19"/>
  <c r="F74" i="19"/>
  <c r="F76" i="19"/>
  <c r="F79" i="19"/>
  <c r="F81" i="19"/>
  <c r="G64" i="19"/>
  <c r="G66" i="19"/>
  <c r="G69" i="19"/>
  <c r="G71" i="19"/>
  <c r="G74" i="19"/>
  <c r="G76" i="19"/>
  <c r="G79" i="19"/>
  <c r="G81" i="19"/>
  <c r="M8" i="19"/>
  <c r="M13" i="19"/>
  <c r="M18" i="19"/>
  <c r="M23" i="19"/>
  <c r="I8" i="19"/>
  <c r="I13" i="19"/>
  <c r="I18" i="19"/>
  <c r="I23" i="19"/>
  <c r="J8" i="19"/>
  <c r="J13" i="19"/>
  <c r="J18" i="19"/>
  <c r="J23" i="19"/>
  <c r="K8" i="19"/>
  <c r="K13" i="19"/>
  <c r="K18" i="19"/>
  <c r="K23" i="19"/>
  <c r="L8" i="19"/>
  <c r="D66" i="20"/>
  <c r="G71" i="20"/>
  <c r="D78" i="17"/>
  <c r="C40" i="19" s="1"/>
  <c r="L11" i="18"/>
  <c r="R11" i="18" s="1"/>
  <c r="L14" i="18"/>
  <c r="H99" i="20" s="1"/>
  <c r="L16" i="18"/>
  <c r="H101" i="20" s="1"/>
  <c r="L21" i="18"/>
  <c r="H106" i="20" s="1"/>
  <c r="L24" i="18"/>
  <c r="H109" i="20" s="1"/>
  <c r="L26" i="18"/>
  <c r="H111" i="20" s="1"/>
  <c r="L41" i="18"/>
  <c r="L43" i="18"/>
  <c r="R43" i="18" s="1"/>
  <c r="L46" i="18"/>
  <c r="B99" i="20" s="1"/>
  <c r="L48" i="18"/>
  <c r="B101" i="20" s="1"/>
  <c r="L51" i="18"/>
  <c r="R51" i="18" s="1"/>
  <c r="L53" i="18"/>
  <c r="B106" i="20" s="1"/>
  <c r="L56" i="18"/>
  <c r="B109" i="20" s="1"/>
  <c r="L58" i="18"/>
  <c r="B111" i="20" s="1"/>
  <c r="L72" i="18"/>
  <c r="C94" i="20" s="1"/>
  <c r="L74" i="18"/>
  <c r="C96" i="20" s="1"/>
  <c r="L77" i="18"/>
  <c r="C99" i="20" s="1"/>
  <c r="L79" i="18"/>
  <c r="C101" i="20" s="1"/>
  <c r="L82" i="18"/>
  <c r="R82" i="18" s="1"/>
  <c r="L84" i="18"/>
  <c r="C106" i="20" s="1"/>
  <c r="L87" i="18"/>
  <c r="R87" i="18" s="1"/>
  <c r="L102" i="18"/>
  <c r="D94" i="20" s="1"/>
  <c r="L104" i="18"/>
  <c r="D96" i="20" s="1"/>
  <c r="L107" i="18"/>
  <c r="D99" i="20" s="1"/>
  <c r="L112" i="18"/>
  <c r="D104" i="20" s="1"/>
  <c r="L114" i="18"/>
  <c r="R114" i="18" s="1"/>
  <c r="L117" i="18"/>
  <c r="R117" i="18" s="1"/>
  <c r="L119" i="18"/>
  <c r="D111" i="20" s="1"/>
  <c r="L133" i="18"/>
  <c r="R133" i="18" s="1"/>
  <c r="L135" i="18"/>
  <c r="E96" i="20" s="1"/>
  <c r="L138" i="18"/>
  <c r="L140" i="18"/>
  <c r="E101" i="20" s="1"/>
  <c r="L143" i="18"/>
  <c r="R143" i="18" s="1"/>
  <c r="L148" i="18"/>
  <c r="E109" i="20" s="1"/>
  <c r="L150" i="18"/>
  <c r="R150" i="18" s="1"/>
  <c r="H82" i="19"/>
  <c r="B75" i="19"/>
  <c r="M10" i="19"/>
  <c r="I15" i="19"/>
  <c r="D302" i="17"/>
  <c r="J49" i="19" s="1"/>
  <c r="L25" i="19"/>
  <c r="L57" i="17"/>
  <c r="B108" i="19" s="1"/>
  <c r="L59" i="17"/>
  <c r="B110" i="19" s="1"/>
  <c r="L85" i="17"/>
  <c r="C105" i="19" s="1"/>
  <c r="L105" i="17"/>
  <c r="D95" i="19" s="1"/>
  <c r="L110" i="17"/>
  <c r="D100" i="19" s="1"/>
  <c r="L134" i="17"/>
  <c r="E93" i="19" s="1"/>
  <c r="L136" i="17"/>
  <c r="E95" i="19" s="1"/>
  <c r="L146" i="17"/>
  <c r="E105" i="19" s="1"/>
  <c r="L151" i="17"/>
  <c r="R151" i="17" s="1"/>
  <c r="F23" i="19"/>
  <c r="L180" i="17"/>
  <c r="F108" i="19" s="1"/>
  <c r="L195" i="17"/>
  <c r="G93" i="19" s="1"/>
  <c r="L197" i="17"/>
  <c r="G95" i="19" s="1"/>
  <c r="G13" i="19"/>
  <c r="L202" i="17"/>
  <c r="R202" i="17" s="1"/>
  <c r="G18" i="19"/>
  <c r="M19" i="19"/>
  <c r="D238" i="17"/>
  <c r="M47" i="19" s="1"/>
  <c r="D243" i="17"/>
  <c r="Q243" i="17" s="1"/>
  <c r="J14" i="19"/>
  <c r="D295" i="17"/>
  <c r="J42" i="19" s="1"/>
  <c r="D305" i="17"/>
  <c r="J52" i="19" s="1"/>
  <c r="K9" i="19"/>
  <c r="K19" i="19"/>
  <c r="D352" i="17"/>
  <c r="L37" i="19" s="1"/>
  <c r="L19" i="19"/>
  <c r="D383" i="17"/>
  <c r="P37" i="19" s="1"/>
  <c r="P14" i="19"/>
  <c r="D393" i="17"/>
  <c r="P47" i="19" s="1"/>
  <c r="P24" i="19"/>
  <c r="N14" i="19"/>
  <c r="D418" i="17"/>
  <c r="N42" i="19" s="1"/>
  <c r="N19" i="19"/>
  <c r="D423" i="17"/>
  <c r="N47" i="19" s="1"/>
  <c r="O9" i="19"/>
  <c r="O24" i="19"/>
  <c r="P8" i="19"/>
  <c r="P13" i="19"/>
  <c r="N8" i="19"/>
  <c r="N18" i="19"/>
  <c r="O13" i="19"/>
  <c r="O18" i="19"/>
  <c r="B10" i="20"/>
  <c r="J24" i="20"/>
  <c r="D453" i="18"/>
  <c r="O48" i="20" s="1"/>
  <c r="F7" i="20"/>
  <c r="L164" i="18"/>
  <c r="R164" i="18" s="1"/>
  <c r="F9" i="20"/>
  <c r="L166" i="18"/>
  <c r="F96" i="20" s="1"/>
  <c r="L169" i="18"/>
  <c r="F99" i="20" s="1"/>
  <c r="F14" i="20"/>
  <c r="L171" i="18"/>
  <c r="R171" i="18" s="1"/>
  <c r="F17" i="20"/>
  <c r="L174" i="18"/>
  <c r="F19" i="20"/>
  <c r="L176" i="18"/>
  <c r="F106" i="20" s="1"/>
  <c r="F22" i="20"/>
  <c r="L179" i="18"/>
  <c r="F109" i="20" s="1"/>
  <c r="L181" i="18"/>
  <c r="R181" i="18" s="1"/>
  <c r="G7" i="20"/>
  <c r="L194" i="18"/>
  <c r="G94" i="20" s="1"/>
  <c r="G9" i="20"/>
  <c r="L196" i="18"/>
  <c r="G96" i="20" s="1"/>
  <c r="L199" i="18"/>
  <c r="G99" i="20" s="1"/>
  <c r="G14" i="20"/>
  <c r="L201" i="18"/>
  <c r="G101" i="20" s="1"/>
  <c r="G17" i="20"/>
  <c r="L204" i="18"/>
  <c r="G104" i="20" s="1"/>
  <c r="G19" i="20"/>
  <c r="L206" i="18"/>
  <c r="G106" i="20" s="1"/>
  <c r="G22" i="20"/>
  <c r="L209" i="18"/>
  <c r="G109" i="20" s="1"/>
  <c r="G24" i="20"/>
  <c r="L211" i="18"/>
  <c r="G111" i="20" s="1"/>
  <c r="M7" i="20"/>
  <c r="D226" i="18"/>
  <c r="Q226" i="18" s="1"/>
  <c r="M12" i="20"/>
  <c r="D231" i="18"/>
  <c r="M41" i="20" s="1"/>
  <c r="M17" i="20"/>
  <c r="D236" i="18"/>
  <c r="Q236" i="18" s="1"/>
  <c r="M22" i="20"/>
  <c r="D241" i="18"/>
  <c r="M51" i="20" s="1"/>
  <c r="I7" i="20"/>
  <c r="D257" i="18"/>
  <c r="I36" i="20" s="1"/>
  <c r="I12" i="20"/>
  <c r="D262" i="18"/>
  <c r="I41" i="20" s="1"/>
  <c r="I17" i="20"/>
  <c r="D267" i="18"/>
  <c r="I46" i="20" s="1"/>
  <c r="I22" i="20"/>
  <c r="D272" i="18"/>
  <c r="I51" i="20" s="1"/>
  <c r="J7" i="20"/>
  <c r="D293" i="18"/>
  <c r="J41" i="20" s="1"/>
  <c r="D298" i="18"/>
  <c r="J46" i="20" s="1"/>
  <c r="J22" i="20"/>
  <c r="D303" i="18"/>
  <c r="J51" i="20" s="1"/>
  <c r="K7" i="20"/>
  <c r="D319" i="18"/>
  <c r="Q319" i="18" s="1"/>
  <c r="K12" i="20"/>
  <c r="K17" i="20"/>
  <c r="D329" i="18"/>
  <c r="Q329" i="18" s="1"/>
  <c r="K22" i="20"/>
  <c r="D334" i="18"/>
  <c r="K51" i="20" s="1"/>
  <c r="L7" i="20"/>
  <c r="D350" i="18"/>
  <c r="Q350" i="18" s="1"/>
  <c r="D355" i="18"/>
  <c r="L41" i="20" s="1"/>
  <c r="L17" i="20"/>
  <c r="D360" i="18"/>
  <c r="Q360" i="18" s="1"/>
  <c r="L22" i="20"/>
  <c r="P7" i="20"/>
  <c r="D381" i="18"/>
  <c r="D386" i="18"/>
  <c r="P41" i="20" s="1"/>
  <c r="P17" i="20"/>
  <c r="D391" i="18"/>
  <c r="Q391" i="18" s="1"/>
  <c r="P22" i="20"/>
  <c r="D396" i="18"/>
  <c r="P51" i="20" s="1"/>
  <c r="N7" i="20"/>
  <c r="D411" i="18"/>
  <c r="N36" i="20" s="1"/>
  <c r="D416" i="18"/>
  <c r="N41" i="20" s="1"/>
  <c r="N17" i="20"/>
  <c r="D421" i="18"/>
  <c r="Q421" i="18" s="1"/>
  <c r="N22" i="20"/>
  <c r="D426" i="18"/>
  <c r="Q426" i="18" s="1"/>
  <c r="O7" i="20"/>
  <c r="O12" i="20"/>
  <c r="D446" i="18"/>
  <c r="Q446" i="18" s="1"/>
  <c r="O17" i="20"/>
  <c r="D451" i="18"/>
  <c r="O46" i="20" s="1"/>
  <c r="O22" i="20"/>
  <c r="D456" i="18"/>
  <c r="O51" i="20" s="1"/>
  <c r="D74" i="17"/>
  <c r="C36" i="19" s="1"/>
  <c r="D206" i="17"/>
  <c r="G46" i="19" s="1"/>
  <c r="D390" i="17"/>
  <c r="P44" i="19" s="1"/>
  <c r="D59" i="17"/>
  <c r="B52" i="19" s="1"/>
  <c r="D202" i="17"/>
  <c r="G42" i="19" s="1"/>
  <c r="D258" i="17"/>
  <c r="I36" i="19" s="1"/>
  <c r="D382" i="17"/>
  <c r="Q382" i="17" s="1"/>
  <c r="D82" i="17"/>
  <c r="C44" i="19" s="1"/>
  <c r="D266" i="17"/>
  <c r="I44" i="19" s="1"/>
  <c r="D43" i="17"/>
  <c r="B36" i="19" s="1"/>
  <c r="D79" i="17"/>
  <c r="C41" i="19" s="1"/>
  <c r="D145" i="17"/>
  <c r="E46" i="19" s="1"/>
  <c r="D181" i="17"/>
  <c r="F51" i="19" s="1"/>
  <c r="D415" i="17"/>
  <c r="N39" i="19" s="1"/>
  <c r="L46" i="17"/>
  <c r="B97" i="19" s="1"/>
  <c r="C14" i="19"/>
  <c r="F14" i="19"/>
  <c r="F24" i="19"/>
  <c r="G9" i="19"/>
  <c r="I12" i="19"/>
  <c r="K7" i="19"/>
  <c r="D350" i="17"/>
  <c r="L35" i="19" s="1"/>
  <c r="L12" i="19"/>
  <c r="L17" i="19"/>
  <c r="P7" i="19"/>
  <c r="N17" i="19"/>
  <c r="D119" i="17"/>
  <c r="D51" i="19" s="1"/>
  <c r="H65" i="19"/>
  <c r="H67" i="19"/>
  <c r="H72" i="19"/>
  <c r="H77" i="19"/>
  <c r="H80" i="19"/>
  <c r="D26" i="17"/>
  <c r="H51" i="19" s="1"/>
  <c r="B65" i="19"/>
  <c r="B67" i="19"/>
  <c r="B70" i="19"/>
  <c r="B72" i="19"/>
  <c r="B77" i="19"/>
  <c r="D56" i="17"/>
  <c r="B49" i="19" s="1"/>
  <c r="B80" i="19"/>
  <c r="B82" i="19"/>
  <c r="C65" i="19"/>
  <c r="C67" i="19"/>
  <c r="C70" i="19"/>
  <c r="C72" i="19"/>
  <c r="C75" i="19"/>
  <c r="C77" i="19"/>
  <c r="C80" i="19"/>
  <c r="D65" i="19"/>
  <c r="D70" i="19"/>
  <c r="D72" i="19"/>
  <c r="D75" i="19"/>
  <c r="D77" i="19"/>
  <c r="D80" i="19"/>
  <c r="D82" i="19"/>
  <c r="E65" i="19"/>
  <c r="E67" i="19"/>
  <c r="E72" i="19"/>
  <c r="E75" i="19"/>
  <c r="E77" i="19"/>
  <c r="E80" i="19"/>
  <c r="E82" i="19"/>
  <c r="F65" i="19"/>
  <c r="F70" i="19"/>
  <c r="F72" i="19"/>
  <c r="F77" i="19"/>
  <c r="F80" i="19"/>
  <c r="F82" i="19"/>
  <c r="G65" i="19"/>
  <c r="G67" i="19"/>
  <c r="G70" i="19"/>
  <c r="G72" i="19"/>
  <c r="G77" i="19"/>
  <c r="G82" i="19"/>
  <c r="M20" i="19"/>
  <c r="M25" i="19"/>
  <c r="I10" i="19"/>
  <c r="I20" i="19"/>
  <c r="I25" i="19"/>
  <c r="J15" i="19"/>
  <c r="J20" i="19"/>
  <c r="J25" i="19"/>
  <c r="K10" i="19"/>
  <c r="K15" i="19"/>
  <c r="K25" i="19"/>
  <c r="L15" i="19"/>
  <c r="L20" i="19"/>
  <c r="P15" i="19"/>
  <c r="P20" i="19"/>
  <c r="P25" i="19"/>
  <c r="N10" i="19"/>
  <c r="N15" i="19"/>
  <c r="N25" i="19"/>
  <c r="O15" i="19"/>
  <c r="O20" i="19"/>
  <c r="O25" i="19"/>
  <c r="J18" i="20"/>
  <c r="E100" i="20"/>
  <c r="R139" i="18"/>
  <c r="L20" i="17"/>
  <c r="H103" i="19" s="1"/>
  <c r="C23" i="19"/>
  <c r="L90" i="17"/>
  <c r="C110" i="19" s="1"/>
  <c r="L108" i="17"/>
  <c r="D98" i="19" s="1"/>
  <c r="L120" i="17"/>
  <c r="D110" i="19" s="1"/>
  <c r="L139" i="17"/>
  <c r="E98" i="19" s="1"/>
  <c r="L144" i="17"/>
  <c r="E103" i="19" s="1"/>
  <c r="F18" i="19"/>
  <c r="L177" i="17"/>
  <c r="R177" i="17" s="1"/>
  <c r="G15" i="19"/>
  <c r="L207" i="17"/>
  <c r="G105" i="19" s="1"/>
  <c r="M9" i="19"/>
  <c r="I9" i="19"/>
  <c r="D16" i="17"/>
  <c r="H41" i="19" s="1"/>
  <c r="D19" i="17"/>
  <c r="H44" i="19" s="1"/>
  <c r="D107" i="17"/>
  <c r="D39" i="19" s="1"/>
  <c r="R141" i="17"/>
  <c r="H20" i="19"/>
  <c r="D8" i="19"/>
  <c r="L167" i="17"/>
  <c r="F95" i="19" s="1"/>
  <c r="L172" i="17"/>
  <c r="F100" i="19" s="1"/>
  <c r="L182" i="17"/>
  <c r="F110" i="19" s="1"/>
  <c r="G25" i="19"/>
  <c r="D228" i="17"/>
  <c r="M37" i="19" s="1"/>
  <c r="R38" i="20" s="1"/>
  <c r="D233" i="17"/>
  <c r="M42" i="19" s="1"/>
  <c r="D259" i="17"/>
  <c r="I37" i="19" s="1"/>
  <c r="D264" i="17"/>
  <c r="I42" i="19" s="1"/>
  <c r="D321" i="17"/>
  <c r="K37" i="19" s="1"/>
  <c r="D357" i="17"/>
  <c r="L42" i="19" s="1"/>
  <c r="D367" i="17"/>
  <c r="Q367" i="17" s="1"/>
  <c r="N9" i="19"/>
  <c r="D428" i="17"/>
  <c r="N52" i="19" s="1"/>
  <c r="D443" i="17"/>
  <c r="O37" i="19" s="1"/>
  <c r="D448" i="17"/>
  <c r="Q448" i="17" s="1"/>
  <c r="N23" i="19"/>
  <c r="O23" i="19"/>
  <c r="H82" i="20"/>
  <c r="D48" i="18"/>
  <c r="B42" i="20" s="1"/>
  <c r="B74" i="20"/>
  <c r="D74" i="18"/>
  <c r="C37" i="20" s="1"/>
  <c r="D82" i="18"/>
  <c r="C45" i="20" s="1"/>
  <c r="D109" i="18"/>
  <c r="D42" i="20" s="1"/>
  <c r="D148" i="18"/>
  <c r="E50" i="20" s="1"/>
  <c r="F67" i="20"/>
  <c r="D169" i="18"/>
  <c r="F40" i="20" s="1"/>
  <c r="G79" i="20"/>
  <c r="D230" i="18"/>
  <c r="M40" i="20" s="1"/>
  <c r="D266" i="18"/>
  <c r="I45" i="20" s="1"/>
  <c r="J10" i="20"/>
  <c r="J15" i="20"/>
  <c r="D302" i="18"/>
  <c r="J50" i="20" s="1"/>
  <c r="K20" i="20"/>
  <c r="D333" i="18"/>
  <c r="K50" i="20" s="1"/>
  <c r="D349" i="18"/>
  <c r="L35" i="20" s="1"/>
  <c r="D390" i="18"/>
  <c r="P45" i="20" s="1"/>
  <c r="S45" i="20" s="1"/>
  <c r="L17" i="17"/>
  <c r="H100" i="19" s="1"/>
  <c r="L27" i="17"/>
  <c r="H110" i="19" s="1"/>
  <c r="C20" i="19"/>
  <c r="L88" i="17"/>
  <c r="L103" i="17"/>
  <c r="D93" i="19" s="1"/>
  <c r="L115" i="17"/>
  <c r="D105" i="19" s="1"/>
  <c r="L175" i="17"/>
  <c r="F103" i="19" s="1"/>
  <c r="G20" i="19"/>
  <c r="L210" i="17"/>
  <c r="G108" i="19" s="1"/>
  <c r="L212" i="17"/>
  <c r="G110" i="19" s="1"/>
  <c r="I14" i="19"/>
  <c r="D269" i="17"/>
  <c r="I47" i="19" s="1"/>
  <c r="D290" i="17"/>
  <c r="D300" i="17"/>
  <c r="J47" i="19" s="1"/>
  <c r="D336" i="17"/>
  <c r="K52" i="19" s="1"/>
  <c r="L24" i="19"/>
  <c r="D388" i="17"/>
  <c r="Q388" i="17" s="1"/>
  <c r="D398" i="17"/>
  <c r="P52" i="19" s="1"/>
  <c r="D413" i="17"/>
  <c r="N37" i="19" s="1"/>
  <c r="N24" i="19"/>
  <c r="D453" i="17"/>
  <c r="O47" i="19" s="1"/>
  <c r="D458" i="17"/>
  <c r="O52" i="19" s="1"/>
  <c r="N13" i="19"/>
  <c r="H7" i="19"/>
  <c r="D12" i="17"/>
  <c r="H37" i="19" s="1"/>
  <c r="D15" i="17"/>
  <c r="H40" i="19" s="1"/>
  <c r="D17" i="17"/>
  <c r="H42" i="19" s="1"/>
  <c r="D20" i="17"/>
  <c r="Q20" i="17" s="1"/>
  <c r="D22" i="17"/>
  <c r="H47" i="19" s="1"/>
  <c r="H22" i="19"/>
  <c r="D25" i="17"/>
  <c r="H50" i="19" s="1"/>
  <c r="D42" i="17"/>
  <c r="B35" i="19" s="1"/>
  <c r="D47" i="17"/>
  <c r="B40" i="19" s="1"/>
  <c r="D49" i="17"/>
  <c r="D52" i="17"/>
  <c r="B45" i="19" s="1"/>
  <c r="D54" i="17"/>
  <c r="B47" i="19" s="1"/>
  <c r="D57" i="17"/>
  <c r="B50" i="19" s="1"/>
  <c r="D73" i="17"/>
  <c r="C35" i="19" s="1"/>
  <c r="D75" i="17"/>
  <c r="C37" i="19" s="1"/>
  <c r="D80" i="17"/>
  <c r="C42" i="19" s="1"/>
  <c r="D83" i="17"/>
  <c r="Q83" i="17" s="1"/>
  <c r="D85" i="17"/>
  <c r="C47" i="19" s="1"/>
  <c r="H13" i="20"/>
  <c r="I14" i="20"/>
  <c r="J19" i="20"/>
  <c r="D88" i="17"/>
  <c r="C50" i="19" s="1"/>
  <c r="D90" i="17"/>
  <c r="C52" i="19" s="1"/>
  <c r="D103" i="17"/>
  <c r="D35" i="19" s="1"/>
  <c r="D108" i="17"/>
  <c r="Q108" i="17" s="1"/>
  <c r="D110" i="17"/>
  <c r="D42" i="19" s="1"/>
  <c r="D113" i="17"/>
  <c r="D45" i="19" s="1"/>
  <c r="D115" i="17"/>
  <c r="D47" i="19" s="1"/>
  <c r="D118" i="17"/>
  <c r="Q118" i="17" s="1"/>
  <c r="D24" i="19"/>
  <c r="D120" i="17"/>
  <c r="D52" i="19" s="1"/>
  <c r="D134" i="17"/>
  <c r="E35" i="19" s="1"/>
  <c r="D136" i="17"/>
  <c r="E37" i="19" s="1"/>
  <c r="D141" i="17"/>
  <c r="E42" i="19" s="1"/>
  <c r="D144" i="17"/>
  <c r="E45" i="19" s="1"/>
  <c r="D146" i="17"/>
  <c r="Q146" i="17" s="1"/>
  <c r="D165" i="17"/>
  <c r="F35" i="19" s="1"/>
  <c r="D170" i="17"/>
  <c r="F40" i="19" s="1"/>
  <c r="D172" i="17"/>
  <c r="F42" i="19" s="1"/>
  <c r="F17" i="19"/>
  <c r="D175" i="17"/>
  <c r="F45" i="19" s="1"/>
  <c r="D177" i="17"/>
  <c r="F47" i="19" s="1"/>
  <c r="D180" i="17"/>
  <c r="F50" i="19" s="1"/>
  <c r="D182" i="17"/>
  <c r="Q182" i="17" s="1"/>
  <c r="D195" i="17"/>
  <c r="D197" i="17"/>
  <c r="G37" i="19" s="1"/>
  <c r="D200" i="17"/>
  <c r="G40" i="19" s="1"/>
  <c r="D205" i="17"/>
  <c r="G45" i="19" s="1"/>
  <c r="D207" i="17"/>
  <c r="G47" i="19" s="1"/>
  <c r="D210" i="17"/>
  <c r="G50" i="19" s="1"/>
  <c r="D212" i="17"/>
  <c r="G52" i="19" s="1"/>
  <c r="D227" i="17"/>
  <c r="Q227" i="17" s="1"/>
  <c r="D232" i="17"/>
  <c r="D237" i="17"/>
  <c r="M46" i="19" s="1"/>
  <c r="D242" i="17"/>
  <c r="Q242" i="17" s="1"/>
  <c r="D268" i="17"/>
  <c r="I46" i="19" s="1"/>
  <c r="I22" i="19"/>
  <c r="D289" i="17"/>
  <c r="J36" i="19" s="1"/>
  <c r="D294" i="17"/>
  <c r="J41" i="19" s="1"/>
  <c r="D335" i="17"/>
  <c r="K51" i="19" s="1"/>
  <c r="D351" i="17"/>
  <c r="Q351" i="17" s="1"/>
  <c r="D356" i="17"/>
  <c r="L41" i="19" s="1"/>
  <c r="D366" i="17"/>
  <c r="Q366" i="17" s="1"/>
  <c r="D387" i="17"/>
  <c r="P41" i="19" s="1"/>
  <c r="D392" i="17"/>
  <c r="P46" i="19" s="1"/>
  <c r="D412" i="17"/>
  <c r="N36" i="19" s="1"/>
  <c r="D417" i="17"/>
  <c r="N41" i="19" s="1"/>
  <c r="D422" i="17"/>
  <c r="Q422" i="17" s="1"/>
  <c r="D427" i="17"/>
  <c r="D442" i="17"/>
  <c r="Q442" i="17" s="1"/>
  <c r="D447" i="17"/>
  <c r="Q447" i="17" s="1"/>
  <c r="D452" i="17"/>
  <c r="O46" i="19" s="1"/>
  <c r="D457" i="17"/>
  <c r="O51" i="19" s="1"/>
  <c r="D10" i="20"/>
  <c r="D20" i="20"/>
  <c r="D23" i="20"/>
  <c r="E15" i="20"/>
  <c r="G8" i="20"/>
  <c r="G18" i="20"/>
  <c r="G25" i="20"/>
  <c r="M19" i="20"/>
  <c r="K9" i="20"/>
  <c r="P14" i="20"/>
  <c r="P19" i="20"/>
  <c r="P24" i="20"/>
  <c r="N9" i="20"/>
  <c r="N14" i="20"/>
  <c r="N19" i="20"/>
  <c r="O9" i="20"/>
  <c r="O14" i="20"/>
  <c r="O24" i="20"/>
  <c r="D109" i="17"/>
  <c r="D41" i="19" s="1"/>
  <c r="D114" i="17"/>
  <c r="D46" i="19" s="1"/>
  <c r="D117" i="17"/>
  <c r="D49" i="19" s="1"/>
  <c r="D133" i="17"/>
  <c r="E34" i="19" s="1"/>
  <c r="D135" i="17"/>
  <c r="E36" i="19" s="1"/>
  <c r="D143" i="17"/>
  <c r="E44" i="19" s="1"/>
  <c r="D166" i="17"/>
  <c r="F36" i="19" s="1"/>
  <c r="D169" i="17"/>
  <c r="F39" i="19" s="1"/>
  <c r="D179" i="17"/>
  <c r="F49" i="19" s="1"/>
  <c r="D194" i="17"/>
  <c r="G34" i="19" s="1"/>
  <c r="D196" i="17"/>
  <c r="G36" i="19" s="1"/>
  <c r="D201" i="17"/>
  <c r="G41" i="19" s="1"/>
  <c r="D204" i="17"/>
  <c r="G44" i="19" s="1"/>
  <c r="D225" i="17"/>
  <c r="M34" i="19" s="1"/>
  <c r="D230" i="17"/>
  <c r="M39" i="19" s="1"/>
  <c r="D240" i="17"/>
  <c r="M49" i="19" s="1"/>
  <c r="D256" i="17"/>
  <c r="I34" i="19" s="1"/>
  <c r="D261" i="17"/>
  <c r="I39" i="19" s="1"/>
  <c r="D292" i="17"/>
  <c r="J39" i="19" s="1"/>
  <c r="D297" i="17"/>
  <c r="J44" i="19" s="1"/>
  <c r="D328" i="17"/>
  <c r="K44" i="19" s="1"/>
  <c r="D333" i="17"/>
  <c r="K49" i="19" s="1"/>
  <c r="D349" i="17"/>
  <c r="L34" i="19" s="1"/>
  <c r="D354" i="17"/>
  <c r="L39" i="19" s="1"/>
  <c r="D385" i="17"/>
  <c r="P39" i="19" s="1"/>
  <c r="D410" i="17"/>
  <c r="N34" i="19" s="1"/>
  <c r="D425" i="17"/>
  <c r="N49" i="19" s="1"/>
  <c r="D445" i="17"/>
  <c r="O39" i="19" s="1"/>
  <c r="D450" i="17"/>
  <c r="O44" i="19" s="1"/>
  <c r="D455" i="17"/>
  <c r="O49" i="19" s="1"/>
  <c r="L22" i="18"/>
  <c r="H107" i="20" s="1"/>
  <c r="L200" i="18"/>
  <c r="G100" i="20" s="1"/>
  <c r="D448" i="18"/>
  <c r="O43" i="20" s="1"/>
  <c r="D172" i="18"/>
  <c r="F43" i="20" s="1"/>
  <c r="D237" i="18"/>
  <c r="M47" i="20" s="1"/>
  <c r="O18" i="20"/>
  <c r="H71" i="20"/>
  <c r="H8" i="19"/>
  <c r="L10" i="17"/>
  <c r="H93" i="19" s="1"/>
  <c r="H10" i="19"/>
  <c r="H13" i="19"/>
  <c r="L15" i="17"/>
  <c r="H15" i="19"/>
  <c r="H18" i="19"/>
  <c r="H23" i="19"/>
  <c r="L25" i="17"/>
  <c r="H108" i="19" s="1"/>
  <c r="H25" i="19"/>
  <c r="B8" i="19"/>
  <c r="B10" i="19"/>
  <c r="L44" i="17"/>
  <c r="B95" i="19" s="1"/>
  <c r="B13" i="19"/>
  <c r="B15" i="19"/>
  <c r="L49" i="17"/>
  <c r="L52" i="17"/>
  <c r="R136" i="18"/>
  <c r="R195" i="18"/>
  <c r="Q326" i="18"/>
  <c r="Q357" i="18"/>
  <c r="L52" i="19"/>
  <c r="Q428" i="17"/>
  <c r="H9" i="19"/>
  <c r="L11" i="17"/>
  <c r="H12" i="19"/>
  <c r="L14" i="17"/>
  <c r="H97" i="19" s="1"/>
  <c r="H14" i="19"/>
  <c r="L16" i="17"/>
  <c r="H17" i="19"/>
  <c r="H19" i="19"/>
  <c r="L21" i="17"/>
  <c r="L24" i="17"/>
  <c r="H107" i="19" s="1"/>
  <c r="H24" i="19"/>
  <c r="L26" i="17"/>
  <c r="H109" i="19" s="1"/>
  <c r="B7" i="19"/>
  <c r="L41" i="17"/>
  <c r="B9" i="19"/>
  <c r="L43" i="17"/>
  <c r="B94" i="19" s="1"/>
  <c r="B12" i="19"/>
  <c r="Q47" i="17"/>
  <c r="B14" i="19"/>
  <c r="L48" i="17"/>
  <c r="B99" i="19" s="1"/>
  <c r="Q49" i="17"/>
  <c r="B42" i="19"/>
  <c r="B17" i="19"/>
  <c r="L51" i="17"/>
  <c r="B19" i="19"/>
  <c r="L53" i="17"/>
  <c r="B104" i="19" s="1"/>
  <c r="B22" i="19"/>
  <c r="L56" i="17"/>
  <c r="B107" i="19" s="1"/>
  <c r="B24" i="19"/>
  <c r="L58" i="17"/>
  <c r="C7" i="19"/>
  <c r="L72" i="17"/>
  <c r="C92" i="19" s="1"/>
  <c r="C9" i="19"/>
  <c r="L74" i="17"/>
  <c r="C12" i="19"/>
  <c r="L77" i="17"/>
  <c r="L79" i="17"/>
  <c r="C17" i="19"/>
  <c r="L82" i="17"/>
  <c r="C102" i="19" s="1"/>
  <c r="C19" i="19"/>
  <c r="L84" i="17"/>
  <c r="Q85" i="17"/>
  <c r="C22" i="19"/>
  <c r="L87" i="17"/>
  <c r="C24" i="19"/>
  <c r="L89" i="17"/>
  <c r="D7" i="19"/>
  <c r="L102" i="17"/>
  <c r="D9" i="19"/>
  <c r="L104" i="17"/>
  <c r="D94" i="19" s="1"/>
  <c r="D12" i="19"/>
  <c r="L107" i="17"/>
  <c r="D97" i="19" s="1"/>
  <c r="D14" i="19"/>
  <c r="L109" i="17"/>
  <c r="D17" i="19"/>
  <c r="L112" i="17"/>
  <c r="D19" i="19"/>
  <c r="L114" i="17"/>
  <c r="D22" i="19"/>
  <c r="L117" i="17"/>
  <c r="D107" i="19" s="1"/>
  <c r="L119" i="17"/>
  <c r="D109" i="19" s="1"/>
  <c r="E7" i="19"/>
  <c r="L133" i="17"/>
  <c r="E9" i="19"/>
  <c r="L135" i="17"/>
  <c r="E94" i="19" s="1"/>
  <c r="E12" i="19"/>
  <c r="L138" i="17"/>
  <c r="E97" i="19" s="1"/>
  <c r="E14" i="19"/>
  <c r="L140" i="17"/>
  <c r="E99" i="19" s="1"/>
  <c r="E17" i="19"/>
  <c r="L143" i="17"/>
  <c r="E19" i="19"/>
  <c r="L145" i="17"/>
  <c r="E22" i="19"/>
  <c r="L148" i="17"/>
  <c r="E24" i="19"/>
  <c r="L150" i="17"/>
  <c r="F7" i="19"/>
  <c r="L164" i="17"/>
  <c r="F9" i="19"/>
  <c r="F12" i="19"/>
  <c r="L169" i="17"/>
  <c r="L171" i="17"/>
  <c r="L174" i="17"/>
  <c r="F19" i="19"/>
  <c r="L176" i="17"/>
  <c r="F104" i="19" s="1"/>
  <c r="F22" i="19"/>
  <c r="L179" i="17"/>
  <c r="F107" i="19" s="1"/>
  <c r="L181" i="17"/>
  <c r="F109" i="19" s="1"/>
  <c r="G7" i="19"/>
  <c r="L194" i="17"/>
  <c r="L196" i="17"/>
  <c r="G12" i="19"/>
  <c r="L199" i="17"/>
  <c r="G14" i="19"/>
  <c r="L201" i="17"/>
  <c r="G99" i="19" s="1"/>
  <c r="G17" i="19"/>
  <c r="L204" i="17"/>
  <c r="G102" i="19" s="1"/>
  <c r="G19" i="19"/>
  <c r="L206" i="17"/>
  <c r="G104" i="19" s="1"/>
  <c r="G22" i="19"/>
  <c r="L209" i="17"/>
  <c r="G24" i="19"/>
  <c r="L211" i="17"/>
  <c r="M7" i="19"/>
  <c r="D226" i="17"/>
  <c r="M35" i="19" s="1"/>
  <c r="M12" i="19"/>
  <c r="D231" i="17"/>
  <c r="M17" i="19"/>
  <c r="D236" i="17"/>
  <c r="M22" i="19"/>
  <c r="D241" i="17"/>
  <c r="I7" i="19"/>
  <c r="D257" i="17"/>
  <c r="D262" i="17"/>
  <c r="I40" i="19" s="1"/>
  <c r="I17" i="19"/>
  <c r="D267" i="17"/>
  <c r="I45" i="19" s="1"/>
  <c r="D272" i="17"/>
  <c r="J7" i="19"/>
  <c r="J12" i="19"/>
  <c r="D293" i="17"/>
  <c r="J17" i="19"/>
  <c r="J22" i="19"/>
  <c r="K17" i="19"/>
  <c r="P12" i="19"/>
  <c r="O12" i="19"/>
  <c r="O22" i="19"/>
  <c r="D9" i="17"/>
  <c r="H34" i="19" s="1"/>
  <c r="D11" i="17"/>
  <c r="H36" i="19" s="1"/>
  <c r="D14" i="17"/>
  <c r="H39" i="19" s="1"/>
  <c r="H75" i="19"/>
  <c r="D21" i="17"/>
  <c r="D46" i="17"/>
  <c r="B39" i="19" s="1"/>
  <c r="D58" i="17"/>
  <c r="B51" i="19" s="1"/>
  <c r="D72" i="17"/>
  <c r="C34" i="19" s="1"/>
  <c r="D84" i="17"/>
  <c r="C46" i="19" s="1"/>
  <c r="C82" i="19"/>
  <c r="D67" i="19"/>
  <c r="E70" i="19"/>
  <c r="F75" i="19"/>
  <c r="R205" i="17"/>
  <c r="G75" i="19"/>
  <c r="R210" i="17"/>
  <c r="G80" i="19"/>
  <c r="J10" i="19"/>
  <c r="Q331" i="17"/>
  <c r="K20" i="19"/>
  <c r="P10" i="19"/>
  <c r="O10" i="19"/>
  <c r="Q290" i="18"/>
  <c r="J38" i="20"/>
  <c r="R15" i="18"/>
  <c r="H100" i="20"/>
  <c r="F76" i="20"/>
  <c r="G81" i="20"/>
  <c r="K13" i="20"/>
  <c r="N23" i="20"/>
  <c r="L10" i="19"/>
  <c r="L54" i="17"/>
  <c r="L80" i="17"/>
  <c r="D17" i="18"/>
  <c r="H43" i="20" s="1"/>
  <c r="D20" i="18"/>
  <c r="R21" i="18"/>
  <c r="D25" i="18"/>
  <c r="D27" i="18"/>
  <c r="R41" i="18"/>
  <c r="B94" i="20"/>
  <c r="D44" i="18"/>
  <c r="R46" i="18"/>
  <c r="B22" i="20"/>
  <c r="D57" i="18"/>
  <c r="D80" i="18"/>
  <c r="D88" i="18"/>
  <c r="D103" i="18"/>
  <c r="D36" i="20" s="1"/>
  <c r="D9" i="20"/>
  <c r="D105" i="18"/>
  <c r="D38" i="20" s="1"/>
  <c r="D118" i="18"/>
  <c r="D134" i="18"/>
  <c r="E36" i="20" s="1"/>
  <c r="D139" i="18"/>
  <c r="E41" i="20" s="1"/>
  <c r="E14" i="20"/>
  <c r="D146" i="18"/>
  <c r="E48" i="20" s="1"/>
  <c r="D151" i="18"/>
  <c r="R174" i="18"/>
  <c r="F104" i="20"/>
  <c r="D180" i="18"/>
  <c r="D210" i="18"/>
  <c r="D258" i="18"/>
  <c r="J12" i="20"/>
  <c r="D294" i="18"/>
  <c r="J17" i="20"/>
  <c r="D304" i="18"/>
  <c r="J52" i="20" s="1"/>
  <c r="D330" i="18"/>
  <c r="D351" i="18"/>
  <c r="L12" i="20"/>
  <c r="D366" i="18"/>
  <c r="Q381" i="18"/>
  <c r="P36" i="20"/>
  <c r="D427" i="18"/>
  <c r="D447" i="18"/>
  <c r="D457" i="18"/>
  <c r="O52" i="20" s="1"/>
  <c r="L73" i="17"/>
  <c r="C93" i="19" s="1"/>
  <c r="L75" i="17"/>
  <c r="D10" i="18"/>
  <c r="D12" i="18"/>
  <c r="D15" i="18"/>
  <c r="H41" i="20" s="1"/>
  <c r="Q41" i="20" s="1"/>
  <c r="H19" i="20"/>
  <c r="D22" i="18"/>
  <c r="D42" i="18"/>
  <c r="B36" i="20" s="1"/>
  <c r="B96" i="20"/>
  <c r="D47" i="18"/>
  <c r="Q48" i="18"/>
  <c r="B14" i="20"/>
  <c r="D49" i="18"/>
  <c r="D59" i="18"/>
  <c r="D73" i="18"/>
  <c r="C36" i="20" s="1"/>
  <c r="Q74" i="18"/>
  <c r="C9" i="20"/>
  <c r="D75" i="18"/>
  <c r="D78" i="18"/>
  <c r="C17" i="20"/>
  <c r="D83" i="18"/>
  <c r="D85" i="18"/>
  <c r="R102" i="18"/>
  <c r="D110" i="18"/>
  <c r="D17" i="20"/>
  <c r="D113" i="18"/>
  <c r="D115" i="18"/>
  <c r="D120" i="18"/>
  <c r="D53" i="20" s="1"/>
  <c r="D136" i="18"/>
  <c r="E38" i="20" s="1"/>
  <c r="R138" i="18"/>
  <c r="E99" i="20"/>
  <c r="D141" i="18"/>
  <c r="E43" i="20" s="1"/>
  <c r="D149" i="18"/>
  <c r="D165" i="18"/>
  <c r="F36" i="20" s="1"/>
  <c r="F12" i="20"/>
  <c r="D170" i="18"/>
  <c r="F101" i="20"/>
  <c r="D175" i="18"/>
  <c r="D177" i="18"/>
  <c r="F24" i="20"/>
  <c r="D182" i="18"/>
  <c r="D195" i="18"/>
  <c r="G36" i="20" s="1"/>
  <c r="G12" i="20"/>
  <c r="D200" i="18"/>
  <c r="D202" i="18"/>
  <c r="D205" i="18"/>
  <c r="D212" i="18"/>
  <c r="D227" i="18"/>
  <c r="M37" i="20" s="1"/>
  <c r="D232" i="18"/>
  <c r="M42" i="20" s="1"/>
  <c r="D242" i="18"/>
  <c r="M52" i="20" s="1"/>
  <c r="D268" i="18"/>
  <c r="D289" i="18"/>
  <c r="D325" i="18"/>
  <c r="K42" i="20" s="1"/>
  <c r="D335" i="18"/>
  <c r="K52" i="20" s="1"/>
  <c r="D356" i="18"/>
  <c r="L42" i="20" s="1"/>
  <c r="D382" i="18"/>
  <c r="P12" i="20"/>
  <c r="D387" i="18"/>
  <c r="D392" i="18"/>
  <c r="D412" i="18"/>
  <c r="N37" i="20" s="1"/>
  <c r="N12" i="20"/>
  <c r="D417" i="18"/>
  <c r="N42" i="20" s="1"/>
  <c r="D422" i="18"/>
  <c r="D442" i="18"/>
  <c r="D452" i="18"/>
  <c r="O47" i="20" s="1"/>
  <c r="N20" i="19"/>
  <c r="H69" i="20"/>
  <c r="C25" i="19"/>
  <c r="D13" i="19"/>
  <c r="D20" i="19"/>
  <c r="D23" i="19"/>
  <c r="D25" i="19"/>
  <c r="E10" i="19"/>
  <c r="E15" i="19"/>
  <c r="E25" i="19"/>
  <c r="F8" i="19"/>
  <c r="F13" i="19"/>
  <c r="F15" i="19"/>
  <c r="F20" i="19"/>
  <c r="F25" i="19"/>
  <c r="G8" i="19"/>
  <c r="G10" i="19"/>
  <c r="G23" i="19"/>
  <c r="M14" i="19"/>
  <c r="M24" i="19"/>
  <c r="I19" i="19"/>
  <c r="I24" i="19"/>
  <c r="J9" i="19"/>
  <c r="J19" i="19"/>
  <c r="J24" i="19"/>
  <c r="K14" i="19"/>
  <c r="K24" i="19"/>
  <c r="L9" i="19"/>
  <c r="L14" i="19"/>
  <c r="P9" i="19"/>
  <c r="P19" i="19"/>
  <c r="O14" i="19"/>
  <c r="O19" i="19"/>
  <c r="D9" i="18"/>
  <c r="H35" i="20" s="1"/>
  <c r="H67" i="20"/>
  <c r="D11" i="18"/>
  <c r="H37" i="20" s="1"/>
  <c r="D14" i="18"/>
  <c r="H40" i="20" s="1"/>
  <c r="H72" i="20"/>
  <c r="D19" i="18"/>
  <c r="B82" i="20"/>
  <c r="E72" i="20"/>
  <c r="K15" i="20"/>
  <c r="O10" i="20"/>
  <c r="Q295" i="18"/>
  <c r="J43" i="20"/>
  <c r="L42" i="18"/>
  <c r="B95" i="20" s="1"/>
  <c r="L54" i="18"/>
  <c r="D298" i="17"/>
  <c r="J45" i="19" s="1"/>
  <c r="D303" i="17"/>
  <c r="J50" i="19" s="1"/>
  <c r="D304" i="17"/>
  <c r="J51" i="19" s="1"/>
  <c r="D319" i="17"/>
  <c r="K35" i="19" s="1"/>
  <c r="K12" i="19"/>
  <c r="D325" i="17"/>
  <c r="K41" i="19" s="1"/>
  <c r="D329" i="17"/>
  <c r="D330" i="17"/>
  <c r="K22" i="19"/>
  <c r="D334" i="17"/>
  <c r="Q349" i="17"/>
  <c r="L7" i="19"/>
  <c r="D355" i="17"/>
  <c r="D360" i="17"/>
  <c r="L22" i="19"/>
  <c r="D381" i="17"/>
  <c r="D386" i="17"/>
  <c r="P17" i="19"/>
  <c r="D391" i="17"/>
  <c r="P22" i="19"/>
  <c r="D396" i="17"/>
  <c r="P50" i="19" s="1"/>
  <c r="N7" i="19"/>
  <c r="D411" i="17"/>
  <c r="N35" i="19" s="1"/>
  <c r="N12" i="19"/>
  <c r="D416" i="17"/>
  <c r="D421" i="17"/>
  <c r="N22" i="19"/>
  <c r="D426" i="17"/>
  <c r="O7" i="19"/>
  <c r="D446" i="17"/>
  <c r="O17" i="19"/>
  <c r="D451" i="17"/>
  <c r="O45" i="19" s="1"/>
  <c r="D456" i="17"/>
  <c r="O50" i="19" s="1"/>
  <c r="R207" i="18"/>
  <c r="G107" i="20"/>
  <c r="Q274" i="18"/>
  <c r="I53" i="20"/>
  <c r="Q453" i="18"/>
  <c r="H66" i="20"/>
  <c r="H68" i="20"/>
  <c r="H73" i="20"/>
  <c r="H76" i="20"/>
  <c r="H78" i="20"/>
  <c r="H81" i="20"/>
  <c r="H83" i="20"/>
  <c r="B66" i="20"/>
  <c r="B68" i="20"/>
  <c r="B71" i="20"/>
  <c r="B73" i="20"/>
  <c r="B76" i="20"/>
  <c r="B78" i="20"/>
  <c r="B81" i="20"/>
  <c r="B83" i="20"/>
  <c r="C66" i="20"/>
  <c r="C68" i="20"/>
  <c r="C71" i="20"/>
  <c r="C73" i="20"/>
  <c r="C76" i="20"/>
  <c r="C78" i="20"/>
  <c r="C81" i="20"/>
  <c r="C83" i="20"/>
  <c r="D68" i="20"/>
  <c r="D71" i="20"/>
  <c r="D73" i="20"/>
  <c r="D76" i="20"/>
  <c r="D78" i="20"/>
  <c r="D81" i="20"/>
  <c r="D83" i="20"/>
  <c r="E66" i="20"/>
  <c r="E68" i="20"/>
  <c r="E71" i="20"/>
  <c r="E73" i="20"/>
  <c r="E76" i="20"/>
  <c r="E78" i="20"/>
  <c r="E81" i="20"/>
  <c r="E83" i="20"/>
  <c r="F66" i="20"/>
  <c r="F68" i="20"/>
  <c r="F71" i="20"/>
  <c r="F73" i="20"/>
  <c r="F78" i="20"/>
  <c r="F81" i="20"/>
  <c r="F83" i="20"/>
  <c r="G66" i="20"/>
  <c r="G68" i="20"/>
  <c r="G73" i="20"/>
  <c r="G76" i="20"/>
  <c r="G78" i="20"/>
  <c r="G83" i="20"/>
  <c r="M13" i="20"/>
  <c r="M18" i="20"/>
  <c r="M23" i="20"/>
  <c r="I8" i="20"/>
  <c r="I13" i="20"/>
  <c r="I18" i="20"/>
  <c r="I23" i="20"/>
  <c r="J8" i="20"/>
  <c r="J13" i="20"/>
  <c r="J23" i="20"/>
  <c r="K8" i="20"/>
  <c r="K18" i="20"/>
  <c r="K23" i="20"/>
  <c r="L8" i="20"/>
  <c r="L13" i="20"/>
  <c r="L18" i="20"/>
  <c r="L23" i="20"/>
  <c r="P8" i="20"/>
  <c r="P13" i="20"/>
  <c r="P18" i="20"/>
  <c r="P23" i="20"/>
  <c r="N8" i="20"/>
  <c r="N13" i="20"/>
  <c r="N18" i="20"/>
  <c r="O8" i="20"/>
  <c r="O13" i="20"/>
  <c r="O23" i="20"/>
  <c r="D16" i="18"/>
  <c r="H74" i="20"/>
  <c r="R20" i="18"/>
  <c r="D21" i="18"/>
  <c r="H79" i="20"/>
  <c r="H84" i="20"/>
  <c r="B67" i="20"/>
  <c r="B69" i="20"/>
  <c r="D46" i="18"/>
  <c r="B40" i="20" s="1"/>
  <c r="B72" i="20"/>
  <c r="B77" i="20"/>
  <c r="B79" i="20"/>
  <c r="D56" i="18"/>
  <c r="B84" i="20"/>
  <c r="D72" i="18"/>
  <c r="C35" i="20" s="1"/>
  <c r="C67" i="20"/>
  <c r="C69" i="20"/>
  <c r="C72" i="20"/>
  <c r="C74" i="20"/>
  <c r="C77" i="20"/>
  <c r="C79" i="20"/>
  <c r="C82" i="20"/>
  <c r="D89" i="18"/>
  <c r="C52" i="20" s="1"/>
  <c r="C84" i="20"/>
  <c r="D102" i="18"/>
  <c r="D67" i="20"/>
  <c r="D104" i="18"/>
  <c r="D69" i="20"/>
  <c r="D72" i="20"/>
  <c r="D74" i="20"/>
  <c r="D112" i="18"/>
  <c r="D45" i="20" s="1"/>
  <c r="D77" i="20"/>
  <c r="D114" i="18"/>
  <c r="D79" i="20"/>
  <c r="D82" i="20"/>
  <c r="D84" i="20"/>
  <c r="E67" i="20"/>
  <c r="E69" i="20"/>
  <c r="D138" i="18"/>
  <c r="D140" i="18"/>
  <c r="E42" i="20" s="1"/>
  <c r="E74" i="20"/>
  <c r="E77" i="20"/>
  <c r="D145" i="18"/>
  <c r="E47" i="20" s="1"/>
  <c r="E79" i="20"/>
  <c r="E82" i="20"/>
  <c r="D150" i="18"/>
  <c r="E84" i="20"/>
  <c r="D166" i="18"/>
  <c r="F69" i="20"/>
  <c r="F72" i="20"/>
  <c r="F74" i="20"/>
  <c r="R177" i="18"/>
  <c r="F79" i="20"/>
  <c r="D179" i="18"/>
  <c r="F50" i="20" s="1"/>
  <c r="F82" i="20"/>
  <c r="D181" i="18"/>
  <c r="F84" i="20"/>
  <c r="G67" i="20"/>
  <c r="G69" i="20"/>
  <c r="D199" i="18"/>
  <c r="G40" i="20" s="1"/>
  <c r="G72" i="20"/>
  <c r="D201" i="18"/>
  <c r="G74" i="20"/>
  <c r="G77" i="20"/>
  <c r="D206" i="18"/>
  <c r="G47" i="20" s="1"/>
  <c r="D209" i="18"/>
  <c r="G50" i="20" s="1"/>
  <c r="G82" i="20"/>
  <c r="G84" i="20"/>
  <c r="D225" i="18"/>
  <c r="M35" i="20" s="1"/>
  <c r="R35" i="20" s="1"/>
  <c r="M10" i="20"/>
  <c r="M15" i="20"/>
  <c r="M20" i="20"/>
  <c r="D240" i="18"/>
  <c r="M50" i="20" s="1"/>
  <c r="M25" i="20"/>
  <c r="D256" i="18"/>
  <c r="I35" i="20" s="1"/>
  <c r="I10" i="20"/>
  <c r="D261" i="18"/>
  <c r="I40" i="20" s="1"/>
  <c r="I15" i="20"/>
  <c r="I20" i="20"/>
  <c r="I25" i="20"/>
  <c r="D292" i="18"/>
  <c r="J40" i="20" s="1"/>
  <c r="D297" i="18"/>
  <c r="J45" i="20" s="1"/>
  <c r="J20" i="20"/>
  <c r="J25" i="20"/>
  <c r="D328" i="18"/>
  <c r="K45" i="20" s="1"/>
  <c r="Q336" i="18"/>
  <c r="K25" i="20"/>
  <c r="L10" i="20"/>
  <c r="D354" i="18"/>
  <c r="L40" i="20" s="1"/>
  <c r="L20" i="20"/>
  <c r="Q367" i="18"/>
  <c r="L25" i="20"/>
  <c r="P10" i="20"/>
  <c r="D385" i="18"/>
  <c r="P40" i="20" s="1"/>
  <c r="P15" i="20"/>
  <c r="P20" i="20"/>
  <c r="P25" i="20"/>
  <c r="D410" i="18"/>
  <c r="N10" i="20"/>
  <c r="D415" i="18"/>
  <c r="N40" i="20" s="1"/>
  <c r="N15" i="20"/>
  <c r="N20" i="20"/>
  <c r="D425" i="18"/>
  <c r="N50" i="20" s="1"/>
  <c r="N25" i="20"/>
  <c r="O15" i="20"/>
  <c r="D450" i="18"/>
  <c r="O45" i="20" s="1"/>
  <c r="O20" i="20"/>
  <c r="D455" i="18"/>
  <c r="O25" i="20"/>
  <c r="L13" i="19"/>
  <c r="L18" i="19"/>
  <c r="L23" i="19"/>
  <c r="P18" i="19"/>
  <c r="P23" i="19"/>
  <c r="O8" i="19"/>
  <c r="H10" i="20"/>
  <c r="H15" i="20"/>
  <c r="L17" i="18"/>
  <c r="H102" i="20" s="1"/>
  <c r="H18" i="20"/>
  <c r="H20" i="20"/>
  <c r="H23" i="20"/>
  <c r="L27" i="18"/>
  <c r="H112" i="20" s="1"/>
  <c r="B8" i="20"/>
  <c r="B13" i="20"/>
  <c r="L47" i="18"/>
  <c r="B100" i="20" s="1"/>
  <c r="B15" i="20"/>
  <c r="B18" i="20"/>
  <c r="B20" i="20"/>
  <c r="B23" i="20"/>
  <c r="L59" i="18"/>
  <c r="B112" i="20" s="1"/>
  <c r="C8" i="20"/>
  <c r="C10" i="20"/>
  <c r="L75" i="18"/>
  <c r="C97" i="20" s="1"/>
  <c r="C13" i="20"/>
  <c r="L80" i="18"/>
  <c r="C102" i="20" s="1"/>
  <c r="C18" i="20"/>
  <c r="L83" i="18"/>
  <c r="C20" i="20"/>
  <c r="L85" i="18"/>
  <c r="C107" i="20" s="1"/>
  <c r="C23" i="20"/>
  <c r="C25" i="20"/>
  <c r="D8" i="20"/>
  <c r="L105" i="18"/>
  <c r="D15" i="20"/>
  <c r="D18" i="20"/>
  <c r="L118" i="18"/>
  <c r="D110" i="20" s="1"/>
  <c r="D25" i="20"/>
  <c r="L134" i="18"/>
  <c r="E95" i="20" s="1"/>
  <c r="E10" i="20"/>
  <c r="E13" i="20"/>
  <c r="E20" i="20"/>
  <c r="E23" i="20"/>
  <c r="E25" i="20"/>
  <c r="F8" i="20"/>
  <c r="L167" i="18"/>
  <c r="F13" i="20"/>
  <c r="F15" i="20"/>
  <c r="F18" i="20"/>
  <c r="L175" i="18"/>
  <c r="F20" i="20"/>
  <c r="F25" i="20"/>
  <c r="L182" i="18"/>
  <c r="F112" i="20" s="1"/>
  <c r="G10" i="20"/>
  <c r="G13" i="20"/>
  <c r="G15" i="20"/>
  <c r="G20" i="20"/>
  <c r="G23" i="20"/>
  <c r="M9" i="20"/>
  <c r="M14" i="20"/>
  <c r="D233" i="18"/>
  <c r="M43" i="20" s="1"/>
  <c r="R43" i="20" s="1"/>
  <c r="M24" i="20"/>
  <c r="I19" i="20"/>
  <c r="D269" i="18"/>
  <c r="I48" i="20" s="1"/>
  <c r="I24" i="20"/>
  <c r="J9" i="20"/>
  <c r="D300" i="18"/>
  <c r="D305" i="18"/>
  <c r="J53" i="20" s="1"/>
  <c r="K14" i="20"/>
  <c r="K19" i="20"/>
  <c r="D331" i="18"/>
  <c r="K24" i="20"/>
  <c r="L9" i="20"/>
  <c r="L14" i="20"/>
  <c r="L19" i="20"/>
  <c r="D362" i="18"/>
  <c r="L24" i="20"/>
  <c r="P9" i="20"/>
  <c r="D388" i="18"/>
  <c r="D393" i="18"/>
  <c r="P48" i="20" s="1"/>
  <c r="D418" i="18"/>
  <c r="D443" i="18"/>
  <c r="D458" i="18"/>
  <c r="F77" i="20"/>
  <c r="R12" i="18"/>
  <c r="R202" i="18"/>
  <c r="Q141" i="18"/>
  <c r="Q84" i="18"/>
  <c r="Q445" i="18"/>
  <c r="Q349" i="18"/>
  <c r="R197" i="18"/>
  <c r="Q352" i="18"/>
  <c r="Q105" i="18"/>
  <c r="R49" i="18"/>
  <c r="D423" i="18"/>
  <c r="R194" i="18"/>
  <c r="D52" i="18"/>
  <c r="D167" i="18"/>
  <c r="D211" i="18"/>
  <c r="D26" i="18"/>
  <c r="D54" i="18"/>
  <c r="R58" i="18"/>
  <c r="L109" i="18"/>
  <c r="R113" i="18"/>
  <c r="L145" i="18"/>
  <c r="D197" i="18"/>
  <c r="L210" i="18"/>
  <c r="G110" i="20" s="1"/>
  <c r="D263" i="18"/>
  <c r="D299" i="18"/>
  <c r="Q428" i="18"/>
  <c r="L10" i="18"/>
  <c r="R26" i="18"/>
  <c r="R72" i="18"/>
  <c r="R141" i="18"/>
  <c r="D171" i="18"/>
  <c r="R206" i="18"/>
  <c r="D207" i="18"/>
  <c r="Q228" i="18"/>
  <c r="Q266" i="18"/>
  <c r="L9" i="18"/>
  <c r="L19" i="18"/>
  <c r="D24" i="18"/>
  <c r="L44" i="18"/>
  <c r="D58" i="18"/>
  <c r="L73" i="18"/>
  <c r="L78" i="18"/>
  <c r="L88" i="18"/>
  <c r="L90" i="18"/>
  <c r="R104" i="18"/>
  <c r="D108" i="18"/>
  <c r="L110" i="18"/>
  <c r="L120" i="18"/>
  <c r="D144" i="18"/>
  <c r="L146" i="18"/>
  <c r="L170" i="18"/>
  <c r="Q264" i="18"/>
  <c r="D273" i="18"/>
  <c r="D288" i="18"/>
  <c r="Q334" i="18"/>
  <c r="D361" i="18"/>
  <c r="L47" i="20" s="1"/>
  <c r="D441" i="18"/>
  <c r="D43" i="18"/>
  <c r="D51" i="18"/>
  <c r="Q53" i="18"/>
  <c r="D77" i="18"/>
  <c r="D107" i="18"/>
  <c r="D119" i="18"/>
  <c r="D135" i="18"/>
  <c r="D143" i="18"/>
  <c r="R151" i="18"/>
  <c r="D164" i="18"/>
  <c r="D176" i="18"/>
  <c r="F47" i="20" s="1"/>
  <c r="D196" i="18"/>
  <c r="D204" i="18"/>
  <c r="R212" i="18"/>
  <c r="D271" i="18"/>
  <c r="I50" i="20" s="1"/>
  <c r="D287" i="18"/>
  <c r="D320" i="18"/>
  <c r="D397" i="18"/>
  <c r="Q416" i="18"/>
  <c r="D420" i="18"/>
  <c r="D440" i="18"/>
  <c r="D90" i="18"/>
  <c r="R169" i="18"/>
  <c r="L205" i="18"/>
  <c r="Q232" i="18"/>
  <c r="Q262" i="18"/>
  <c r="Q298" i="18"/>
  <c r="Q321" i="18"/>
  <c r="D324" i="18"/>
  <c r="D365" i="18"/>
  <c r="Q411" i="18"/>
  <c r="D41" i="18"/>
  <c r="L52" i="18"/>
  <c r="D79" i="18"/>
  <c r="C42" i="20" s="1"/>
  <c r="D87" i="18"/>
  <c r="L89" i="18"/>
  <c r="L108" i="18"/>
  <c r="D117" i="18"/>
  <c r="D133" i="18"/>
  <c r="L144" i="18"/>
  <c r="L165" i="18"/>
  <c r="D174" i="18"/>
  <c r="D194" i="18"/>
  <c r="Q231" i="18"/>
  <c r="D235" i="18"/>
  <c r="M45" i="20" s="1"/>
  <c r="D318" i="18"/>
  <c r="K35" i="20" s="1"/>
  <c r="D323" i="18"/>
  <c r="K40" i="20" s="1"/>
  <c r="D359" i="18"/>
  <c r="D364" i="18"/>
  <c r="D380" i="18"/>
  <c r="P35" i="20" s="1"/>
  <c r="D395" i="18"/>
  <c r="Q143" i="17"/>
  <c r="Q25" i="17"/>
  <c r="Q145" i="17"/>
  <c r="D10" i="17"/>
  <c r="Q181" i="17"/>
  <c r="Q295" i="17"/>
  <c r="R212" i="17"/>
  <c r="Q59" i="17"/>
  <c r="Q110" i="17"/>
  <c r="Q393" i="17"/>
  <c r="D44" i="17"/>
  <c r="D167" i="17"/>
  <c r="Q305" i="17"/>
  <c r="D320" i="17"/>
  <c r="L12" i="17"/>
  <c r="L22" i="17"/>
  <c r="R134" i="17"/>
  <c r="D150" i="17"/>
  <c r="Q233" i="17"/>
  <c r="D263" i="17"/>
  <c r="Q268" i="17"/>
  <c r="D299" i="17"/>
  <c r="D326" i="17"/>
  <c r="L9" i="17"/>
  <c r="L19" i="17"/>
  <c r="D24" i="17"/>
  <c r="D48" i="17"/>
  <c r="L83" i="17"/>
  <c r="D105" i="17"/>
  <c r="L118" i="17"/>
  <c r="D139" i="17"/>
  <c r="D171" i="17"/>
  <c r="F41" i="19" s="1"/>
  <c r="Q230" i="17"/>
  <c r="D274" i="17"/>
  <c r="Q16" i="17"/>
  <c r="L47" i="17"/>
  <c r="R110" i="17"/>
  <c r="D149" i="17"/>
  <c r="L170" i="17"/>
  <c r="Q202" i="17"/>
  <c r="D273" i="17"/>
  <c r="D288" i="17"/>
  <c r="D441" i="17"/>
  <c r="Q457" i="17"/>
  <c r="D41" i="17"/>
  <c r="D53" i="17"/>
  <c r="B46" i="19" s="1"/>
  <c r="D77" i="17"/>
  <c r="C39" i="19" s="1"/>
  <c r="Q79" i="17"/>
  <c r="R85" i="17"/>
  <c r="D89" i="17"/>
  <c r="D104" i="17"/>
  <c r="D36" i="19" s="1"/>
  <c r="D112" i="17"/>
  <c r="D138" i="17"/>
  <c r="L149" i="17"/>
  <c r="D164" i="17"/>
  <c r="L166" i="17"/>
  <c r="F94" i="19" s="1"/>
  <c r="D176" i="17"/>
  <c r="D199" i="17"/>
  <c r="D211" i="17"/>
  <c r="Q225" i="17"/>
  <c r="D271" i="17"/>
  <c r="D287" i="17"/>
  <c r="D361" i="17"/>
  <c r="L46" i="19" s="1"/>
  <c r="D397" i="17"/>
  <c r="Q417" i="17"/>
  <c r="D420" i="17"/>
  <c r="D440" i="17"/>
  <c r="D27" i="17"/>
  <c r="D151" i="17"/>
  <c r="L200" i="17"/>
  <c r="D324" i="17"/>
  <c r="Q362" i="17"/>
  <c r="D365" i="17"/>
  <c r="L50" i="19" s="1"/>
  <c r="L78" i="17"/>
  <c r="L42" i="17"/>
  <c r="D51" i="17"/>
  <c r="D87" i="17"/>
  <c r="D102" i="17"/>
  <c r="L113" i="17"/>
  <c r="D140" i="17"/>
  <c r="D148" i="17"/>
  <c r="E49" i="19" s="1"/>
  <c r="L165" i="17"/>
  <c r="D174" i="17"/>
  <c r="Q177" i="17"/>
  <c r="D209" i="17"/>
  <c r="D235" i="17"/>
  <c r="Q297" i="17"/>
  <c r="D318" i="17"/>
  <c r="D323" i="17"/>
  <c r="D359" i="17"/>
  <c r="D364" i="17"/>
  <c r="D380" i="17"/>
  <c r="D395" i="17"/>
  <c r="P49" i="19" s="1"/>
  <c r="Q259" i="18" l="1"/>
  <c r="R166" i="18"/>
  <c r="E47" i="19"/>
  <c r="N38" i="20"/>
  <c r="M53" i="20"/>
  <c r="R172" i="18"/>
  <c r="R48" i="18"/>
  <c r="Q383" i="18"/>
  <c r="F94" i="20"/>
  <c r="R107" i="18"/>
  <c r="Q78" i="17"/>
  <c r="Q451" i="18"/>
  <c r="Q303" i="18"/>
  <c r="R57" i="18"/>
  <c r="R196" i="18"/>
  <c r="Q302" i="17"/>
  <c r="R74" i="18"/>
  <c r="G100" i="19"/>
  <c r="R136" i="17"/>
  <c r="R140" i="18"/>
  <c r="Q238" i="18"/>
  <c r="Q386" i="18"/>
  <c r="Q350" i="17"/>
  <c r="R57" i="17"/>
  <c r="R180" i="18"/>
  <c r="D106" i="20"/>
  <c r="Q207" i="17"/>
  <c r="Q355" i="18"/>
  <c r="P46" i="20"/>
  <c r="P42" i="19"/>
  <c r="Q456" i="18"/>
  <c r="R135" i="17"/>
  <c r="Q452" i="18"/>
  <c r="Q46" i="18"/>
  <c r="O41" i="20"/>
  <c r="R17" i="17"/>
  <c r="Q418" i="17"/>
  <c r="Q335" i="18"/>
  <c r="R25" i="18"/>
  <c r="S53" i="20"/>
  <c r="Q352" i="17"/>
  <c r="R117" i="17"/>
  <c r="Q333" i="17"/>
  <c r="R197" i="17"/>
  <c r="Q107" i="17"/>
  <c r="Q398" i="18"/>
  <c r="R149" i="18"/>
  <c r="Q325" i="18"/>
  <c r="S48" i="20"/>
  <c r="R79" i="18"/>
  <c r="K36" i="20"/>
  <c r="C45" i="19"/>
  <c r="R14" i="18"/>
  <c r="S38" i="20"/>
  <c r="R115" i="18"/>
  <c r="R148" i="18"/>
  <c r="Q242" i="18"/>
  <c r="R20" i="17"/>
  <c r="D40" i="19"/>
  <c r="R46" i="17"/>
  <c r="Q228" i="17"/>
  <c r="R53" i="17"/>
  <c r="R112" i="18"/>
  <c r="R135" i="18"/>
  <c r="R103" i="18"/>
  <c r="R44" i="17"/>
  <c r="R77" i="18"/>
  <c r="Q269" i="17"/>
  <c r="Q272" i="18"/>
  <c r="Q17" i="18"/>
  <c r="L36" i="20"/>
  <c r="E111" i="20"/>
  <c r="H96" i="20"/>
  <c r="R176" i="18"/>
  <c r="R138" i="17"/>
  <c r="Q425" i="17"/>
  <c r="Q267" i="18"/>
  <c r="R199" i="18"/>
  <c r="E104" i="20"/>
  <c r="Q241" i="18"/>
  <c r="R172" i="17"/>
  <c r="R181" i="17"/>
  <c r="R146" i="17"/>
  <c r="R209" i="18"/>
  <c r="N46" i="20"/>
  <c r="M46" i="20"/>
  <c r="Q303" i="17"/>
  <c r="Q179" i="17"/>
  <c r="Q37" i="20"/>
  <c r="N51" i="20"/>
  <c r="Q396" i="18"/>
  <c r="R182" i="17"/>
  <c r="Q356" i="17"/>
  <c r="R206" i="17"/>
  <c r="Q292" i="17"/>
  <c r="Q457" i="18"/>
  <c r="R211" i="18"/>
  <c r="O41" i="19"/>
  <c r="R84" i="18"/>
  <c r="Q90" i="17"/>
  <c r="Q336" i="17"/>
  <c r="Q445" i="17"/>
  <c r="R16" i="18"/>
  <c r="R53" i="18"/>
  <c r="Q237" i="18"/>
  <c r="R119" i="18"/>
  <c r="L51" i="19"/>
  <c r="D109" i="20"/>
  <c r="F111" i="20"/>
  <c r="C104" i="20"/>
  <c r="M51" i="19"/>
  <c r="R52" i="20" s="1"/>
  <c r="Q206" i="17"/>
  <c r="Q133" i="17"/>
  <c r="M52" i="19"/>
  <c r="R53" i="20" s="1"/>
  <c r="Q383" i="17"/>
  <c r="Q43" i="17"/>
  <c r="R59" i="17"/>
  <c r="Q74" i="17"/>
  <c r="Q75" i="17"/>
  <c r="Q172" i="17"/>
  <c r="R179" i="18"/>
  <c r="L46" i="20"/>
  <c r="R144" i="17"/>
  <c r="Q200" i="17"/>
  <c r="Q201" i="17"/>
  <c r="Q266" i="17"/>
  <c r="Q120" i="17"/>
  <c r="R201" i="18"/>
  <c r="Q40" i="20"/>
  <c r="R175" i="17"/>
  <c r="R180" i="17"/>
  <c r="Q14" i="17"/>
  <c r="Q238" i="17"/>
  <c r="Q73" i="17"/>
  <c r="Q42" i="17"/>
  <c r="Q293" i="18"/>
  <c r="E94" i="20"/>
  <c r="R204" i="18"/>
  <c r="Q72" i="17"/>
  <c r="Q134" i="17"/>
  <c r="R24" i="18"/>
  <c r="C109" i="20"/>
  <c r="Q205" i="17"/>
  <c r="Q257" i="18"/>
  <c r="Q171" i="17"/>
  <c r="K46" i="20"/>
  <c r="M36" i="20"/>
  <c r="R36" i="20" s="1"/>
  <c r="Q361" i="17"/>
  <c r="R195" i="17"/>
  <c r="Q204" i="17"/>
  <c r="R56" i="18"/>
  <c r="Q119" i="17"/>
  <c r="Q452" i="17"/>
  <c r="Q103" i="17"/>
  <c r="Q390" i="18"/>
  <c r="R105" i="17"/>
  <c r="P36" i="19"/>
  <c r="Q165" i="17"/>
  <c r="R26" i="17"/>
  <c r="R104" i="17"/>
  <c r="Q450" i="17"/>
  <c r="R107" i="17"/>
  <c r="Q325" i="17"/>
  <c r="Q385" i="17"/>
  <c r="Q145" i="18"/>
  <c r="S40" i="20"/>
  <c r="N46" i="19"/>
  <c r="Q335" i="17"/>
  <c r="D50" i="19"/>
  <c r="Q57" i="17"/>
  <c r="H45" i="19"/>
  <c r="Q82" i="17"/>
  <c r="Q411" i="17"/>
  <c r="Q302" i="18"/>
  <c r="Q54" i="17"/>
  <c r="Q413" i="17"/>
  <c r="Q17" i="17"/>
  <c r="Q390" i="17"/>
  <c r="R119" i="17"/>
  <c r="Q328" i="17"/>
  <c r="Q230" i="18"/>
  <c r="Q139" i="18"/>
  <c r="M36" i="19"/>
  <c r="R37" i="20" s="1"/>
  <c r="F52" i="19"/>
  <c r="R108" i="17"/>
  <c r="R10" i="17"/>
  <c r="Q235" i="18"/>
  <c r="S51" i="20"/>
  <c r="Q451" i="17"/>
  <c r="Q298" i="17"/>
  <c r="Q113" i="17"/>
  <c r="R207" i="17"/>
  <c r="Q395" i="17"/>
  <c r="Q135" i="17"/>
  <c r="R43" i="17"/>
  <c r="R24" i="17"/>
  <c r="Q240" i="17"/>
  <c r="Q448" i="18"/>
  <c r="Q318" i="18"/>
  <c r="Q14" i="18"/>
  <c r="Q425" i="18"/>
  <c r="Q387" i="17"/>
  <c r="L36" i="19"/>
  <c r="Q56" i="17"/>
  <c r="Q19" i="17"/>
  <c r="Q453" i="17"/>
  <c r="Q115" i="17"/>
  <c r="Q256" i="17"/>
  <c r="Q292" i="18"/>
  <c r="Q109" i="17"/>
  <c r="Q410" i="17"/>
  <c r="Q261" i="17"/>
  <c r="Q262" i="17"/>
  <c r="R82" i="17"/>
  <c r="Q114" i="17"/>
  <c r="Q264" i="17"/>
  <c r="Q80" i="17"/>
  <c r="Q415" i="17"/>
  <c r="Q258" i="17"/>
  <c r="Q148" i="18"/>
  <c r="Q328" i="18"/>
  <c r="R47" i="20"/>
  <c r="Q176" i="18"/>
  <c r="Q11" i="18"/>
  <c r="R50" i="20"/>
  <c r="Q209" i="18"/>
  <c r="Q180" i="17"/>
  <c r="Q144" i="17"/>
  <c r="Q365" i="17"/>
  <c r="Q53" i="17"/>
  <c r="Q197" i="17"/>
  <c r="Q89" i="18"/>
  <c r="Q134" i="18"/>
  <c r="Q271" i="18"/>
  <c r="Q443" i="17"/>
  <c r="R139" i="17"/>
  <c r="Q289" i="17"/>
  <c r="Q58" i="17"/>
  <c r="Q398" i="17"/>
  <c r="R204" i="17"/>
  <c r="Q210" i="17"/>
  <c r="Q166" i="17"/>
  <c r="Q52" i="17"/>
  <c r="Q300" i="17"/>
  <c r="Q319" i="17"/>
  <c r="Q194" i="17"/>
  <c r="Q259" i="17"/>
  <c r="Q412" i="17"/>
  <c r="Q117" i="17"/>
  <c r="Q380" i="18"/>
  <c r="R200" i="18"/>
  <c r="Q304" i="18"/>
  <c r="Q240" i="18"/>
  <c r="Q103" i="18"/>
  <c r="Q43" i="20"/>
  <c r="R27" i="17"/>
  <c r="Q22" i="17"/>
  <c r="R103" i="17"/>
  <c r="C108" i="19"/>
  <c r="R88" i="17"/>
  <c r="Q148" i="17"/>
  <c r="Q141" i="17"/>
  <c r="Q9" i="17"/>
  <c r="Q261" i="18"/>
  <c r="R17" i="18"/>
  <c r="R210" i="18"/>
  <c r="O42" i="19"/>
  <c r="Q321" i="17"/>
  <c r="Q455" i="17"/>
  <c r="Q357" i="17"/>
  <c r="Q15" i="17"/>
  <c r="Q136" i="17"/>
  <c r="Q450" i="18"/>
  <c r="Q323" i="18"/>
  <c r="Q72" i="18"/>
  <c r="Q179" i="18"/>
  <c r="O36" i="19"/>
  <c r="Q82" i="18"/>
  <c r="Q237" i="17"/>
  <c r="F105" i="19"/>
  <c r="R40" i="20"/>
  <c r="R14" i="17"/>
  <c r="Q456" i="17"/>
  <c r="Q88" i="17"/>
  <c r="Q458" i="17"/>
  <c r="R115" i="17"/>
  <c r="Q354" i="17"/>
  <c r="Q120" i="18"/>
  <c r="Q333" i="18"/>
  <c r="Q109" i="18"/>
  <c r="Q79" i="18"/>
  <c r="Q35" i="20"/>
  <c r="R90" i="17"/>
  <c r="Q212" i="17"/>
  <c r="Q267" i="17"/>
  <c r="Q175" i="17"/>
  <c r="R120" i="17"/>
  <c r="Q396" i="17"/>
  <c r="R25" i="17"/>
  <c r="Q392" i="17"/>
  <c r="R166" i="17"/>
  <c r="Q294" i="17"/>
  <c r="Q12" i="17"/>
  <c r="Q412" i="18"/>
  <c r="Q195" i="18"/>
  <c r="Q417" i="18"/>
  <c r="R182" i="18"/>
  <c r="Q172" i="18"/>
  <c r="R22" i="18"/>
  <c r="Q196" i="17"/>
  <c r="Q11" i="17"/>
  <c r="Q85" i="18"/>
  <c r="C48" i="20"/>
  <c r="R149" i="17"/>
  <c r="E108" i="19"/>
  <c r="Q89" i="17"/>
  <c r="C51" i="19"/>
  <c r="Q41" i="17"/>
  <c r="B34" i="19"/>
  <c r="Q273" i="17"/>
  <c r="I51" i="19"/>
  <c r="Q320" i="17"/>
  <c r="K36" i="19"/>
  <c r="Q299" i="18"/>
  <c r="J47" i="20"/>
  <c r="Q227" i="18"/>
  <c r="O53" i="20"/>
  <c r="Q458" i="18"/>
  <c r="J48" i="20"/>
  <c r="Q300" i="18"/>
  <c r="Q392" i="18"/>
  <c r="P47" i="20"/>
  <c r="S47" i="20" s="1"/>
  <c r="Q212" i="18"/>
  <c r="G53" i="20"/>
  <c r="Q113" i="18"/>
  <c r="D46" i="20"/>
  <c r="Q83" i="18"/>
  <c r="C46" i="20"/>
  <c r="Q287" i="17"/>
  <c r="J34" i="19"/>
  <c r="Q199" i="17"/>
  <c r="G39" i="19"/>
  <c r="R83" i="17"/>
  <c r="C103" i="19"/>
  <c r="Q273" i="18"/>
  <c r="I52" i="20"/>
  <c r="R120" i="18"/>
  <c r="D112" i="20"/>
  <c r="R73" i="18"/>
  <c r="C95" i="20"/>
  <c r="Q171" i="18"/>
  <c r="F42" i="20"/>
  <c r="Q443" i="18"/>
  <c r="O38" i="20"/>
  <c r="F105" i="20"/>
  <c r="R175" i="18"/>
  <c r="D97" i="20"/>
  <c r="R105" i="18"/>
  <c r="Q446" i="17"/>
  <c r="O40" i="19"/>
  <c r="Q442" i="18"/>
  <c r="O37" i="20"/>
  <c r="Q289" i="18"/>
  <c r="J37" i="20"/>
  <c r="G46" i="20"/>
  <c r="Q205" i="18"/>
  <c r="F48" i="20"/>
  <c r="Q177" i="18"/>
  <c r="Q20" i="18"/>
  <c r="H46" i="20"/>
  <c r="R80" i="17"/>
  <c r="C100" i="19"/>
  <c r="M40" i="19"/>
  <c r="R41" i="20" s="1"/>
  <c r="Q231" i="17"/>
  <c r="R209" i="17"/>
  <c r="G107" i="19"/>
  <c r="F97" i="19"/>
  <c r="R169" i="17"/>
  <c r="R148" i="17"/>
  <c r="E107" i="19"/>
  <c r="E102" i="19"/>
  <c r="R143" i="17"/>
  <c r="R102" i="17"/>
  <c r="D92" i="19"/>
  <c r="R84" i="17"/>
  <c r="C104" i="19"/>
  <c r="R77" i="17"/>
  <c r="C97" i="19"/>
  <c r="R51" i="17"/>
  <c r="B102" i="19"/>
  <c r="R78" i="17"/>
  <c r="C98" i="19"/>
  <c r="Q151" i="17"/>
  <c r="E52" i="19"/>
  <c r="Q440" i="17"/>
  <c r="O34" i="19"/>
  <c r="Q271" i="17"/>
  <c r="I49" i="19"/>
  <c r="Q176" i="17"/>
  <c r="F46" i="19"/>
  <c r="Q138" i="17"/>
  <c r="E39" i="19"/>
  <c r="Q441" i="17"/>
  <c r="O35" i="19"/>
  <c r="R47" i="17"/>
  <c r="B98" i="19"/>
  <c r="R179" i="17"/>
  <c r="R56" i="17"/>
  <c r="Q44" i="17"/>
  <c r="B37" i="19"/>
  <c r="Q174" i="18"/>
  <c r="F45" i="20"/>
  <c r="R89" i="18"/>
  <c r="C111" i="20"/>
  <c r="Q441" i="18"/>
  <c r="O36" i="20"/>
  <c r="R110" i="18"/>
  <c r="D102" i="20"/>
  <c r="Q58" i="18"/>
  <c r="B52" i="20"/>
  <c r="Q356" i="18"/>
  <c r="Q146" i="18"/>
  <c r="Q15" i="18"/>
  <c r="N43" i="20"/>
  <c r="Q418" i="18"/>
  <c r="B50" i="20"/>
  <c r="Q56" i="18"/>
  <c r="P45" i="19"/>
  <c r="Q391" i="17"/>
  <c r="L45" i="19"/>
  <c r="Q360" i="17"/>
  <c r="K50" i="19"/>
  <c r="Q334" i="17"/>
  <c r="I47" i="20"/>
  <c r="Q268" i="18"/>
  <c r="G43" i="20"/>
  <c r="Q202" i="18"/>
  <c r="B38" i="20"/>
  <c r="Q44" i="18"/>
  <c r="R54" i="17"/>
  <c r="B105" i="19"/>
  <c r="G92" i="19"/>
  <c r="R194" i="17"/>
  <c r="Q46" i="17"/>
  <c r="H99" i="19"/>
  <c r="R16" i="17"/>
  <c r="B103" i="19"/>
  <c r="R52" i="17"/>
  <c r="Q299" i="17"/>
  <c r="J46" i="19"/>
  <c r="Q305" i="18"/>
  <c r="G42" i="20"/>
  <c r="Q201" i="18"/>
  <c r="B41" i="19"/>
  <c r="Q48" i="17"/>
  <c r="R165" i="18"/>
  <c r="F95" i="20"/>
  <c r="Q77" i="18"/>
  <c r="C40" i="20"/>
  <c r="B97" i="20"/>
  <c r="R44" i="18"/>
  <c r="R109" i="18"/>
  <c r="D101" i="20"/>
  <c r="D37" i="20"/>
  <c r="Q104" i="18"/>
  <c r="N45" i="19"/>
  <c r="Q421" i="17"/>
  <c r="Q387" i="18"/>
  <c r="P42" i="20"/>
  <c r="S42" i="20" s="1"/>
  <c r="Q151" i="18"/>
  <c r="E53" i="20"/>
  <c r="H46" i="19"/>
  <c r="Q21" i="17"/>
  <c r="I50" i="19"/>
  <c r="Q272" i="17"/>
  <c r="E92" i="19"/>
  <c r="R133" i="17"/>
  <c r="R74" i="17"/>
  <c r="C94" i="19"/>
  <c r="B100" i="19"/>
  <c r="R49" i="17"/>
  <c r="Q209" i="17"/>
  <c r="G49" i="19"/>
  <c r="E40" i="19"/>
  <c r="Q139" i="17"/>
  <c r="R176" i="17"/>
  <c r="Q87" i="18"/>
  <c r="C50" i="20"/>
  <c r="E37" i="20"/>
  <c r="Q135" i="18"/>
  <c r="Q197" i="18"/>
  <c r="G38" i="20"/>
  <c r="N40" i="19"/>
  <c r="Q416" i="17"/>
  <c r="H45" i="20"/>
  <c r="Q45" i="20" s="1"/>
  <c r="Q19" i="18"/>
  <c r="Q297" i="18"/>
  <c r="Q180" i="18"/>
  <c r="F51" i="20"/>
  <c r="R114" i="17"/>
  <c r="D104" i="19"/>
  <c r="R21" i="17"/>
  <c r="H104" i="19"/>
  <c r="Q359" i="17"/>
  <c r="L44" i="19"/>
  <c r="Q326" i="17"/>
  <c r="K42" i="19"/>
  <c r="Q136" i="18"/>
  <c r="Q420" i="18"/>
  <c r="N45" i="20"/>
  <c r="Q423" i="18"/>
  <c r="N48" i="20"/>
  <c r="D47" i="20"/>
  <c r="Q114" i="18"/>
  <c r="D35" i="20"/>
  <c r="Q102" i="18"/>
  <c r="C41" i="20"/>
  <c r="Q78" i="18"/>
  <c r="Q12" i="18"/>
  <c r="H38" i="20"/>
  <c r="Q38" i="20" s="1"/>
  <c r="Q354" i="18"/>
  <c r="Q294" i="18"/>
  <c r="J42" i="20"/>
  <c r="C43" i="20"/>
  <c r="Q80" i="18"/>
  <c r="Q318" i="17"/>
  <c r="K34" i="19"/>
  <c r="J35" i="19"/>
  <c r="Q288" i="17"/>
  <c r="Q41" i="18"/>
  <c r="B35" i="20"/>
  <c r="Q397" i="18"/>
  <c r="P52" i="20"/>
  <c r="L48" i="20"/>
  <c r="Q362" i="18"/>
  <c r="C105" i="20"/>
  <c r="R83" i="18"/>
  <c r="E52" i="20"/>
  <c r="Q150" i="18"/>
  <c r="Q115" i="18"/>
  <c r="D48" i="20"/>
  <c r="C95" i="19"/>
  <c r="R75" i="17"/>
  <c r="Q330" i="18"/>
  <c r="K47" i="20"/>
  <c r="R113" i="17"/>
  <c r="D103" i="19"/>
  <c r="Q420" i="17"/>
  <c r="N44" i="19"/>
  <c r="Q359" i="18"/>
  <c r="L45" i="20"/>
  <c r="D41" i="20"/>
  <c r="Q108" i="18"/>
  <c r="Q211" i="18"/>
  <c r="G52" i="20"/>
  <c r="Q355" i="17"/>
  <c r="L40" i="19"/>
  <c r="Q241" i="17"/>
  <c r="M50" i="19"/>
  <c r="R51" i="20" s="1"/>
  <c r="C109" i="19"/>
  <c r="R89" i="17"/>
  <c r="Q364" i="17"/>
  <c r="L49" i="19"/>
  <c r="Q102" i="17"/>
  <c r="D34" i="19"/>
  <c r="R170" i="17"/>
  <c r="F98" i="19"/>
  <c r="Q24" i="17"/>
  <c r="H49" i="19"/>
  <c r="R144" i="18"/>
  <c r="E105" i="20"/>
  <c r="Q440" i="18"/>
  <c r="O35" i="20"/>
  <c r="Q24" i="18"/>
  <c r="H50" i="20"/>
  <c r="Q9" i="18"/>
  <c r="R80" i="18"/>
  <c r="H47" i="20"/>
  <c r="Q21" i="18"/>
  <c r="Q330" i="17"/>
  <c r="K46" i="19"/>
  <c r="R54" i="18"/>
  <c r="B107" i="20"/>
  <c r="Q422" i="18"/>
  <c r="N47" i="20"/>
  <c r="R199" i="17"/>
  <c r="G97" i="19"/>
  <c r="Q323" i="17"/>
  <c r="K39" i="19"/>
  <c r="Q174" i="17"/>
  <c r="F44" i="19"/>
  <c r="Q149" i="17"/>
  <c r="E50" i="19"/>
  <c r="Q304" i="17"/>
  <c r="Q167" i="17"/>
  <c r="F37" i="19"/>
  <c r="R140" i="17"/>
  <c r="Q324" i="18"/>
  <c r="K41" i="20"/>
  <c r="Q165" i="18"/>
  <c r="Q225" i="18"/>
  <c r="D52" i="20"/>
  <c r="Q119" i="18"/>
  <c r="Q51" i="18"/>
  <c r="B45" i="20"/>
  <c r="Q361" i="18"/>
  <c r="N35" i="20"/>
  <c r="Q410" i="18"/>
  <c r="E40" i="20"/>
  <c r="Q138" i="18"/>
  <c r="Q182" i="18"/>
  <c r="F53" i="20"/>
  <c r="C38" i="20"/>
  <c r="Q75" i="18"/>
  <c r="Q47" i="18"/>
  <c r="B41" i="20"/>
  <c r="Q10" i="18"/>
  <c r="H36" i="20"/>
  <c r="Q351" i="18"/>
  <c r="L37" i="20"/>
  <c r="Q210" i="18"/>
  <c r="G51" i="20"/>
  <c r="Q140" i="18"/>
  <c r="Q263" i="17"/>
  <c r="I41" i="19"/>
  <c r="Q133" i="18"/>
  <c r="E35" i="20"/>
  <c r="R170" i="18"/>
  <c r="F100" i="20"/>
  <c r="R10" i="18"/>
  <c r="H95" i="20"/>
  <c r="Q54" i="18"/>
  <c r="B48" i="20"/>
  <c r="Q200" i="18"/>
  <c r="G41" i="20"/>
  <c r="Q112" i="18"/>
  <c r="R87" i="17"/>
  <c r="C107" i="19"/>
  <c r="R200" i="17"/>
  <c r="G98" i="19"/>
  <c r="Q397" i="17"/>
  <c r="P51" i="19"/>
  <c r="Q211" i="17"/>
  <c r="G51" i="19"/>
  <c r="Q112" i="17"/>
  <c r="D44" i="19"/>
  <c r="Q104" i="17"/>
  <c r="Q274" i="17"/>
  <c r="I52" i="19"/>
  <c r="R118" i="17"/>
  <c r="D108" i="19"/>
  <c r="R72" i="17"/>
  <c r="Q395" i="18"/>
  <c r="P50" i="20"/>
  <c r="S50" i="20" s="1"/>
  <c r="R75" i="18"/>
  <c r="Q90" i="18"/>
  <c r="C53" i="20"/>
  <c r="Q320" i="18"/>
  <c r="K37" i="20"/>
  <c r="Q204" i="18"/>
  <c r="G45" i="20"/>
  <c r="Q42" i="18"/>
  <c r="R146" i="18"/>
  <c r="E107" i="20"/>
  <c r="R88" i="18"/>
  <c r="C110" i="20"/>
  <c r="Q263" i="18"/>
  <c r="I42" i="20"/>
  <c r="Q73" i="18"/>
  <c r="Q331" i="18"/>
  <c r="K48" i="20"/>
  <c r="R134" i="18"/>
  <c r="Q381" i="17"/>
  <c r="P35" i="19"/>
  <c r="Q385" i="18"/>
  <c r="Q149" i="18"/>
  <c r="E51" i="20"/>
  <c r="Q59" i="18"/>
  <c r="B53" i="20"/>
  <c r="Q22" i="18"/>
  <c r="H48" i="20"/>
  <c r="Q48" i="20" s="1"/>
  <c r="S36" i="20"/>
  <c r="Q256" i="18"/>
  <c r="Q25" i="18"/>
  <c r="H51" i="20"/>
  <c r="Q51" i="20" s="1"/>
  <c r="R196" i="17"/>
  <c r="G94" i="19"/>
  <c r="R112" i="17"/>
  <c r="D102" i="19"/>
  <c r="R165" i="17"/>
  <c r="F93" i="19"/>
  <c r="R19" i="17"/>
  <c r="H102" i="19"/>
  <c r="R22" i="17"/>
  <c r="H105" i="19"/>
  <c r="Q164" i="18"/>
  <c r="F35" i="20"/>
  <c r="Q43" i="18"/>
  <c r="B37" i="20"/>
  <c r="R90" i="18"/>
  <c r="C112" i="20"/>
  <c r="Q329" i="17"/>
  <c r="K45" i="19"/>
  <c r="Q27" i="18"/>
  <c r="H53" i="20"/>
  <c r="R164" i="17"/>
  <c r="F92" i="19"/>
  <c r="R145" i="17"/>
  <c r="E104" i="19"/>
  <c r="R41" i="17"/>
  <c r="B92" i="19"/>
  <c r="Q235" i="17"/>
  <c r="M44" i="19"/>
  <c r="R45" i="20" s="1"/>
  <c r="Q140" i="17"/>
  <c r="E41" i="19"/>
  <c r="Q51" i="17"/>
  <c r="B44" i="19"/>
  <c r="Q105" i="17"/>
  <c r="D37" i="19"/>
  <c r="R9" i="17"/>
  <c r="H92" i="19"/>
  <c r="R12" i="17"/>
  <c r="H95" i="19"/>
  <c r="Q226" i="17"/>
  <c r="Q77" i="17"/>
  <c r="Q10" i="17"/>
  <c r="H35" i="19"/>
  <c r="Q194" i="18"/>
  <c r="G35" i="20"/>
  <c r="Q117" i="18"/>
  <c r="D50" i="20"/>
  <c r="R52" i="18"/>
  <c r="B105" i="20"/>
  <c r="Q365" i="18"/>
  <c r="L51" i="20"/>
  <c r="R205" i="18"/>
  <c r="G105" i="20"/>
  <c r="Q196" i="18"/>
  <c r="G37" i="20"/>
  <c r="Q107" i="18"/>
  <c r="D40" i="20"/>
  <c r="Q144" i="18"/>
  <c r="E46" i="20"/>
  <c r="R9" i="18"/>
  <c r="H94" i="20"/>
  <c r="Q393" i="18"/>
  <c r="Q207" i="18"/>
  <c r="G48" i="20"/>
  <c r="R145" i="18"/>
  <c r="E106" i="20"/>
  <c r="R47" i="18"/>
  <c r="R167" i="18"/>
  <c r="F97" i="20"/>
  <c r="Q426" i="17"/>
  <c r="N50" i="19"/>
  <c r="Q415" i="18"/>
  <c r="Q382" i="18"/>
  <c r="P37" i="20"/>
  <c r="Q199" i="18"/>
  <c r="Q49" i="18"/>
  <c r="B43" i="20"/>
  <c r="Q447" i="18"/>
  <c r="O42" i="20"/>
  <c r="Q293" i="17"/>
  <c r="J40" i="19"/>
  <c r="Q257" i="17"/>
  <c r="I35" i="19"/>
  <c r="Q236" i="17"/>
  <c r="M45" i="19"/>
  <c r="R58" i="17"/>
  <c r="B109" i="19"/>
  <c r="R11" i="17"/>
  <c r="H94" i="19"/>
  <c r="H98" i="19"/>
  <c r="R15" i="17"/>
  <c r="Q87" i="17"/>
  <c r="C49" i="19"/>
  <c r="R19" i="18"/>
  <c r="H104" i="20"/>
  <c r="Q167" i="18"/>
  <c r="F38" i="20"/>
  <c r="Q386" i="17"/>
  <c r="P40" i="19"/>
  <c r="S41" i="20" s="1"/>
  <c r="Q258" i="18"/>
  <c r="I37" i="20"/>
  <c r="Q57" i="18"/>
  <c r="B51" i="20"/>
  <c r="R174" i="17"/>
  <c r="F102" i="19"/>
  <c r="Q380" i="17"/>
  <c r="P34" i="19"/>
  <c r="S35" i="20" s="1"/>
  <c r="R42" i="17"/>
  <c r="B93" i="19"/>
  <c r="Q324" i="17"/>
  <c r="K40" i="19"/>
  <c r="Q27" i="17"/>
  <c r="H52" i="19"/>
  <c r="Q164" i="17"/>
  <c r="F34" i="19"/>
  <c r="Q150" i="17"/>
  <c r="E51" i="19"/>
  <c r="R48" i="17"/>
  <c r="R73" i="17"/>
  <c r="Q364" i="18"/>
  <c r="L50" i="20"/>
  <c r="R108" i="18"/>
  <c r="D100" i="20"/>
  <c r="Q287" i="18"/>
  <c r="J35" i="20"/>
  <c r="Q143" i="18"/>
  <c r="E45" i="20"/>
  <c r="Q288" i="18"/>
  <c r="J36" i="20"/>
  <c r="R78" i="18"/>
  <c r="C100" i="20"/>
  <c r="Q26" i="18"/>
  <c r="H52" i="20"/>
  <c r="Q52" i="20" s="1"/>
  <c r="Q52" i="18"/>
  <c r="B46" i="20"/>
  <c r="Q269" i="18"/>
  <c r="R85" i="18"/>
  <c r="R42" i="18"/>
  <c r="Q170" i="18"/>
  <c r="F41" i="20"/>
  <c r="Q366" i="18"/>
  <c r="L52" i="20"/>
  <c r="R109" i="17"/>
  <c r="D99" i="19"/>
  <c r="R79" i="17"/>
  <c r="C99" i="19"/>
  <c r="B52" i="16"/>
  <c r="E7" i="16"/>
  <c r="AB11" i="16"/>
  <c r="T31" i="16"/>
  <c r="F39" i="16"/>
  <c r="D77" i="16"/>
  <c r="C49" i="16"/>
  <c r="T33" i="16"/>
  <c r="G71" i="16"/>
  <c r="U11" i="16"/>
  <c r="E37" i="16"/>
  <c r="AD10" i="16"/>
  <c r="M50" i="16"/>
  <c r="AB30" i="16"/>
  <c r="S31" i="16"/>
  <c r="F62" i="16"/>
  <c r="AE32" i="16"/>
  <c r="I30" i="16"/>
  <c r="R34" i="16"/>
  <c r="X13" i="16"/>
  <c r="F48" i="16"/>
  <c r="E20" i="16"/>
  <c r="AB31" i="16"/>
  <c r="R7" i="16"/>
  <c r="AG33" i="16"/>
  <c r="F75" i="16"/>
  <c r="K33" i="16"/>
  <c r="L10" i="16"/>
  <c r="N9" i="16"/>
  <c r="J34" i="16"/>
  <c r="B15" i="16"/>
  <c r="J9" i="16"/>
  <c r="AA15" i="16"/>
  <c r="M60" i="16"/>
  <c r="X29" i="16"/>
  <c r="Y29" i="16"/>
  <c r="C74" i="16"/>
  <c r="T27" i="16"/>
  <c r="M71" i="16"/>
  <c r="W30" i="16"/>
  <c r="B61" i="16"/>
  <c r="K56" i="16"/>
  <c r="Q82" i="16"/>
  <c r="Q12" i="16"/>
  <c r="O27" i="16"/>
  <c r="AB17" i="16"/>
  <c r="G62" i="16"/>
  <c r="K80" i="16"/>
  <c r="AC36" i="16"/>
  <c r="V17" i="16"/>
  <c r="U30" i="16"/>
  <c r="B33" i="16"/>
  <c r="T35" i="16"/>
  <c r="Q61" i="16"/>
  <c r="F83" i="16"/>
  <c r="V5" i="16"/>
  <c r="E30" i="16"/>
  <c r="S10" i="16"/>
  <c r="V26" i="16"/>
  <c r="E55" i="16"/>
  <c r="S11" i="16"/>
  <c r="AF31" i="16"/>
  <c r="D79" i="16"/>
  <c r="V30" i="16"/>
  <c r="I74" i="16"/>
  <c r="C12" i="16"/>
  <c r="E75" i="16"/>
  <c r="R9" i="16"/>
  <c r="Z7" i="16"/>
  <c r="Q33" i="16"/>
  <c r="Q71" i="16"/>
  <c r="F37" i="16"/>
  <c r="AF17" i="16"/>
  <c r="Z35" i="16"/>
  <c r="K71" i="16"/>
  <c r="P75" i="16"/>
  <c r="AE17" i="16"/>
  <c r="AA30" i="16"/>
  <c r="X5" i="16"/>
  <c r="AB13" i="16"/>
  <c r="R40" i="16"/>
  <c r="N20" i="16"/>
  <c r="G36" i="16"/>
  <c r="J32" i="16"/>
  <c r="Z17" i="16"/>
  <c r="P59" i="16"/>
  <c r="Y41" i="16"/>
  <c r="G33" i="16"/>
  <c r="P8" i="16"/>
  <c r="E72" i="16"/>
  <c r="AE14" i="16"/>
  <c r="W37" i="16"/>
  <c r="O11" i="16"/>
  <c r="P68" i="16"/>
  <c r="H80" i="16"/>
  <c r="S7" i="16"/>
  <c r="F18" i="16"/>
  <c r="U19" i="16"/>
  <c r="E74" i="16"/>
  <c r="Q5" i="16"/>
  <c r="Q13" i="16"/>
  <c r="E56" i="16"/>
  <c r="F72" i="16"/>
  <c r="F8" i="16"/>
  <c r="M12" i="16"/>
  <c r="O69" i="16"/>
  <c r="Z31" i="16"/>
  <c r="K82" i="16"/>
  <c r="F20" i="16"/>
  <c r="E51" i="16"/>
  <c r="E31" i="16"/>
  <c r="O60" i="16"/>
  <c r="B8" i="16"/>
  <c r="C18" i="16"/>
  <c r="M56" i="16"/>
  <c r="U17" i="16"/>
  <c r="N62" i="16"/>
  <c r="F53" i="16"/>
  <c r="AG8" i="16"/>
  <c r="Q62" i="16"/>
  <c r="C32" i="16"/>
  <c r="J79" i="16"/>
  <c r="F60" i="16"/>
  <c r="M27" i="16"/>
  <c r="AC8" i="16"/>
  <c r="M83" i="16"/>
  <c r="H14" i="16"/>
  <c r="F50" i="16"/>
  <c r="AG36" i="16"/>
  <c r="P73" i="16"/>
  <c r="AG39" i="16"/>
  <c r="L9" i="16"/>
  <c r="J75" i="16"/>
  <c r="V28" i="16"/>
  <c r="AE40" i="16"/>
  <c r="D14" i="16"/>
  <c r="I39" i="16"/>
  <c r="C51" i="16"/>
  <c r="AB29" i="16"/>
  <c r="M36" i="16"/>
  <c r="G48" i="16"/>
  <c r="D30" i="16"/>
  <c r="AD33" i="16"/>
  <c r="K7" i="16"/>
  <c r="C30" i="16"/>
  <c r="AB6" i="16"/>
  <c r="AB9" i="16"/>
  <c r="V14" i="16"/>
  <c r="AF14" i="16"/>
  <c r="D52" i="16"/>
  <c r="B38" i="16"/>
  <c r="K41" i="16"/>
  <c r="C73" i="16"/>
  <c r="K72" i="16"/>
  <c r="X41" i="16"/>
  <c r="Y20" i="16"/>
  <c r="Z6" i="16"/>
  <c r="J57" i="16"/>
  <c r="E28" i="16"/>
  <c r="K75" i="16"/>
  <c r="O56" i="16"/>
  <c r="R32" i="16"/>
  <c r="S9" i="16"/>
  <c r="D6" i="16"/>
  <c r="R39" i="16"/>
  <c r="E18" i="16"/>
  <c r="W19" i="16"/>
  <c r="P52" i="16"/>
  <c r="AG29" i="16"/>
  <c r="N49" i="16"/>
  <c r="C75" i="16"/>
  <c r="D39" i="16"/>
  <c r="H72" i="16"/>
  <c r="R5" i="16"/>
  <c r="L62" i="16"/>
  <c r="Z12" i="16"/>
  <c r="AE30" i="16"/>
  <c r="H83" i="16"/>
  <c r="M68" i="16"/>
  <c r="Y6" i="16"/>
  <c r="T13" i="16"/>
  <c r="B50" i="16"/>
  <c r="Z8" i="16"/>
  <c r="AF28" i="16"/>
  <c r="P53" i="16"/>
  <c r="P5" i="16"/>
  <c r="P83" i="16"/>
  <c r="G11" i="16"/>
  <c r="Q76" i="16"/>
  <c r="AD37" i="16"/>
  <c r="K29" i="16"/>
  <c r="G9" i="16"/>
  <c r="E61" i="16"/>
  <c r="G39" i="16"/>
  <c r="H8" i="16"/>
  <c r="I19" i="16"/>
  <c r="B68" i="16"/>
  <c r="D27" i="16"/>
  <c r="M51" i="16"/>
  <c r="N71" i="16"/>
  <c r="H35" i="16"/>
  <c r="C52" i="16"/>
  <c r="K60" i="16"/>
  <c r="AF41" i="16"/>
  <c r="B29" i="16"/>
  <c r="B16" i="16"/>
  <c r="P77" i="16"/>
  <c r="Q83" i="16"/>
  <c r="B73" i="16"/>
  <c r="V16" i="16"/>
  <c r="M26" i="16"/>
  <c r="H27" i="16"/>
  <c r="N13" i="16"/>
  <c r="Z5" i="16"/>
  <c r="AB33" i="16"/>
  <c r="L58" i="16"/>
  <c r="AC32" i="16"/>
  <c r="AB27" i="16"/>
  <c r="D56" i="16"/>
  <c r="L8" i="16"/>
  <c r="R31" i="16"/>
  <c r="B78" i="16"/>
  <c r="G14" i="16"/>
  <c r="J53" i="16"/>
  <c r="G55" i="16"/>
  <c r="M9" i="16"/>
  <c r="G16" i="16"/>
  <c r="U33" i="16"/>
  <c r="M8" i="16"/>
  <c r="P38" i="16"/>
  <c r="C41" i="16"/>
  <c r="Q59" i="16"/>
  <c r="N26" i="16"/>
  <c r="N47" i="16"/>
  <c r="Q52" i="16"/>
  <c r="O29" i="16"/>
  <c r="Z27" i="16"/>
  <c r="X7" i="16"/>
  <c r="Q37" i="16"/>
  <c r="Q79" i="16"/>
  <c r="L57" i="16"/>
  <c r="O13" i="16"/>
  <c r="U18" i="16"/>
  <c r="O81" i="16"/>
  <c r="K40" i="16"/>
  <c r="U35" i="16"/>
  <c r="AE15" i="16"/>
  <c r="T29" i="16"/>
  <c r="D55" i="16"/>
  <c r="AE20" i="16"/>
  <c r="AD30" i="16"/>
  <c r="AC7" i="16"/>
  <c r="C56" i="16"/>
  <c r="I51" i="16"/>
  <c r="M53" i="16"/>
  <c r="D20" i="16"/>
  <c r="I57" i="16"/>
  <c r="W17" i="16"/>
  <c r="AC28" i="16"/>
  <c r="Y9" i="16"/>
  <c r="N30" i="16"/>
  <c r="C26" i="16"/>
  <c r="AC17" i="16"/>
  <c r="AC20" i="16"/>
  <c r="H75" i="16"/>
  <c r="O8" i="16"/>
  <c r="I60" i="16"/>
  <c r="E69" i="16"/>
  <c r="K51" i="16"/>
  <c r="H31" i="16"/>
  <c r="Y8" i="16"/>
  <c r="AF12" i="16"/>
  <c r="AC30" i="16"/>
  <c r="U15" i="16"/>
  <c r="J56" i="16"/>
  <c r="C34" i="16"/>
  <c r="Q29" i="16"/>
  <c r="Q54" i="16"/>
  <c r="Q18" i="16"/>
  <c r="H79" i="16"/>
  <c r="H60" i="16"/>
  <c r="AF11" i="16"/>
  <c r="K62" i="16"/>
  <c r="K16" i="16"/>
  <c r="P16" i="16"/>
  <c r="C19" i="16"/>
  <c r="M73" i="16"/>
  <c r="P69" i="16"/>
  <c r="AG37" i="16"/>
  <c r="L7" i="16"/>
  <c r="E60" i="16"/>
  <c r="L19" i="16"/>
  <c r="T32" i="16"/>
  <c r="D10" i="16"/>
  <c r="I33" i="16"/>
  <c r="D68" i="16"/>
  <c r="B51" i="16"/>
  <c r="J82" i="16"/>
  <c r="B7" i="16"/>
  <c r="I62" i="16"/>
  <c r="F41" i="16"/>
  <c r="S38" i="16"/>
  <c r="AG32" i="16"/>
  <c r="AF34" i="16"/>
  <c r="P74" i="16"/>
  <c r="J28" i="16"/>
  <c r="AF9" i="16"/>
  <c r="AA33" i="16"/>
  <c r="L83" i="16"/>
  <c r="M33" i="16"/>
  <c r="Y30" i="16"/>
  <c r="X20" i="16"/>
  <c r="C17" i="16"/>
  <c r="E32" i="16"/>
  <c r="Q38" i="16"/>
  <c r="Q39" i="16"/>
  <c r="J54" i="16"/>
  <c r="V12" i="16"/>
  <c r="AE7" i="16"/>
  <c r="G32" i="16"/>
  <c r="H49" i="16"/>
  <c r="P7" i="16"/>
  <c r="D51" i="16"/>
  <c r="N59" i="16"/>
  <c r="K53" i="16"/>
  <c r="R15" i="16"/>
  <c r="H26" i="16"/>
  <c r="AC35" i="16"/>
  <c r="L34" i="16"/>
  <c r="M20" i="16"/>
  <c r="Q27" i="16"/>
  <c r="D60" i="16"/>
  <c r="D74" i="16"/>
  <c r="P14" i="16"/>
  <c r="E8" i="16"/>
  <c r="F33" i="16"/>
  <c r="L74" i="16"/>
  <c r="I6" i="16"/>
  <c r="Q31" i="16"/>
  <c r="J73" i="16"/>
  <c r="H38" i="16"/>
  <c r="S8" i="16"/>
  <c r="D37" i="16"/>
  <c r="AF5" i="16"/>
  <c r="AG31" i="16"/>
  <c r="C33" i="16"/>
  <c r="H33" i="16"/>
  <c r="AD40" i="16"/>
  <c r="C11" i="16"/>
  <c r="N32" i="16"/>
  <c r="Q77" i="16"/>
  <c r="I15" i="16"/>
  <c r="Q47" i="16"/>
  <c r="G8" i="16"/>
  <c r="L77" i="16"/>
  <c r="J37" i="16"/>
  <c r="T17" i="16"/>
  <c r="M62" i="16"/>
  <c r="I5" i="16"/>
  <c r="K5" i="16"/>
  <c r="X16" i="16"/>
  <c r="J59" i="16"/>
  <c r="AB7" i="16"/>
  <c r="F28" i="16"/>
  <c r="L55" i="16"/>
  <c r="O82" i="16"/>
  <c r="I73" i="16"/>
  <c r="B37" i="16"/>
  <c r="P54" i="16"/>
  <c r="T36" i="16"/>
  <c r="W38" i="16"/>
  <c r="P41" i="16"/>
  <c r="U7" i="16"/>
  <c r="U39" i="16"/>
  <c r="L69" i="16"/>
  <c r="S33" i="16"/>
  <c r="W31" i="16"/>
  <c r="N16" i="16"/>
  <c r="Y39" i="16"/>
  <c r="M80" i="16"/>
  <c r="C59" i="16"/>
  <c r="Z40" i="16"/>
  <c r="N48" i="16"/>
  <c r="AD18" i="16"/>
  <c r="K37" i="16"/>
  <c r="AC10" i="16"/>
  <c r="AA40" i="16"/>
  <c r="R11" i="16"/>
  <c r="F31" i="16"/>
  <c r="Q35" i="16"/>
  <c r="Q75" i="16"/>
  <c r="J47" i="16"/>
  <c r="N10" i="16"/>
  <c r="E15" i="16"/>
  <c r="T9" i="16"/>
  <c r="AC33" i="16"/>
  <c r="I82" i="16"/>
  <c r="R12" i="16"/>
  <c r="C82" i="16"/>
  <c r="K58" i="16"/>
  <c r="I26" i="16"/>
  <c r="AC15" i="16"/>
  <c r="U14" i="16"/>
  <c r="Z29" i="16"/>
  <c r="M10" i="16"/>
  <c r="F47" i="16"/>
  <c r="D18" i="16"/>
  <c r="I53" i="16"/>
  <c r="AE6" i="16"/>
  <c r="P33" i="16"/>
  <c r="K8" i="16"/>
  <c r="V13" i="16"/>
  <c r="E11" i="16"/>
  <c r="S19" i="16"/>
  <c r="N55" i="16"/>
  <c r="AF18" i="16"/>
  <c r="X17" i="16"/>
  <c r="AC39" i="16"/>
  <c r="AA41" i="16"/>
  <c r="C35" i="16"/>
  <c r="I36" i="16"/>
  <c r="J15" i="16"/>
  <c r="F55" i="16"/>
  <c r="I56" i="16"/>
  <c r="I83" i="16"/>
  <c r="G61" i="16"/>
  <c r="B60" i="16"/>
  <c r="Y11" i="16"/>
  <c r="F7" i="16"/>
  <c r="Q73" i="16"/>
  <c r="F57" i="16"/>
  <c r="L81" i="16"/>
  <c r="Q80" i="16"/>
  <c r="T19" i="16"/>
  <c r="Z30" i="16"/>
  <c r="M77" i="16"/>
  <c r="J76" i="16"/>
  <c r="J58" i="16"/>
  <c r="AA29" i="16"/>
  <c r="F11" i="16"/>
  <c r="Q57" i="16"/>
  <c r="AE38" i="16"/>
  <c r="I47" i="16"/>
  <c r="S13" i="16"/>
  <c r="Q58" i="16"/>
  <c r="D75" i="16"/>
  <c r="P28" i="16"/>
  <c r="G26" i="16"/>
  <c r="P49" i="16"/>
  <c r="AC34" i="16"/>
  <c r="K19" i="16"/>
  <c r="F59" i="16"/>
  <c r="AE28" i="16"/>
  <c r="H69" i="16"/>
  <c r="N37" i="16"/>
  <c r="AD26" i="16"/>
  <c r="T11" i="16"/>
  <c r="H16" i="16"/>
  <c r="H58" i="16"/>
  <c r="G81" i="16"/>
  <c r="F13" i="16"/>
  <c r="AA36" i="16"/>
  <c r="C60" i="16"/>
  <c r="T30" i="16"/>
  <c r="S26" i="16"/>
  <c r="B77" i="16"/>
  <c r="U10" i="16"/>
  <c r="O12" i="16"/>
  <c r="AA37" i="16"/>
  <c r="F34" i="16"/>
  <c r="K61" i="16"/>
  <c r="E70" i="16"/>
  <c r="G68" i="16"/>
  <c r="L78" i="16"/>
  <c r="T8" i="16"/>
  <c r="I8" i="16"/>
  <c r="X36" i="16"/>
  <c r="R13" i="16"/>
  <c r="E16" i="16"/>
  <c r="G77" i="16"/>
  <c r="P82" i="16"/>
  <c r="C61" i="16"/>
  <c r="F16" i="16"/>
  <c r="K50" i="16"/>
  <c r="AE26" i="16"/>
  <c r="P58" i="16"/>
  <c r="F29" i="16"/>
  <c r="I79" i="16"/>
  <c r="L73" i="16"/>
  <c r="C10" i="16"/>
  <c r="AF37" i="16"/>
  <c r="J55" i="16"/>
  <c r="W29" i="16"/>
  <c r="M55" i="16"/>
  <c r="Y34" i="16"/>
  <c r="O7" i="16"/>
  <c r="B27" i="16"/>
  <c r="H77" i="16"/>
  <c r="I54" i="16"/>
  <c r="X10" i="16"/>
  <c r="C68" i="16"/>
  <c r="O40" i="16"/>
  <c r="G56" i="16"/>
  <c r="AB19" i="16"/>
  <c r="U31" i="16"/>
  <c r="AE5" i="16"/>
  <c r="K55" i="16"/>
  <c r="O72" i="16"/>
  <c r="Y37" i="16"/>
  <c r="H50" i="16"/>
  <c r="E49" i="16"/>
  <c r="O68" i="16"/>
  <c r="C6" i="16"/>
  <c r="S20" i="16"/>
  <c r="T15" i="16"/>
  <c r="F56" i="16"/>
  <c r="G20" i="16"/>
  <c r="E52" i="16"/>
  <c r="P61" i="16"/>
  <c r="N12" i="16"/>
  <c r="N77" i="16"/>
  <c r="J16" i="16"/>
  <c r="AG19" i="16"/>
  <c r="U41" i="16"/>
  <c r="J74" i="16"/>
  <c r="J52" i="16"/>
  <c r="M48" i="16"/>
  <c r="E35" i="16"/>
  <c r="G73" i="16"/>
  <c r="P39" i="16"/>
  <c r="S28" i="16"/>
  <c r="M72" i="16"/>
  <c r="AB41" i="16"/>
  <c r="L30" i="16"/>
  <c r="Z13" i="16"/>
  <c r="H47" i="16"/>
  <c r="Y35" i="16"/>
  <c r="L31" i="16"/>
  <c r="W39" i="16"/>
  <c r="K6" i="16"/>
  <c r="J6" i="16"/>
  <c r="D28" i="16"/>
  <c r="T7" i="16"/>
  <c r="M70" i="16"/>
  <c r="W36" i="16"/>
  <c r="G78" i="16"/>
  <c r="AD12" i="16"/>
  <c r="I11" i="16"/>
  <c r="AA34" i="16"/>
  <c r="F73" i="16"/>
  <c r="N28" i="16"/>
  <c r="G59" i="16"/>
  <c r="H70" i="16"/>
  <c r="E48" i="16"/>
  <c r="F68" i="16"/>
  <c r="H7" i="16"/>
  <c r="O26" i="16"/>
  <c r="AG27" i="16"/>
  <c r="M38" i="16"/>
  <c r="D54" i="16"/>
  <c r="V38" i="16"/>
  <c r="O52" i="16"/>
  <c r="AA6" i="16"/>
  <c r="J72" i="16"/>
  <c r="L48" i="16"/>
  <c r="K36" i="16"/>
  <c r="W7" i="16"/>
  <c r="Q60" i="16"/>
  <c r="AF40" i="16"/>
  <c r="AC26" i="16"/>
  <c r="B35" i="16"/>
  <c r="AC29" i="16"/>
  <c r="L17" i="16"/>
  <c r="F30" i="16"/>
  <c r="Y26" i="16"/>
  <c r="I78" i="16"/>
  <c r="Q8" i="16"/>
  <c r="N33" i="16"/>
  <c r="AG28" i="16"/>
  <c r="AF32" i="16"/>
  <c r="P70" i="16"/>
  <c r="Q17" i="16"/>
  <c r="Y7" i="16"/>
  <c r="AF39" i="16"/>
  <c r="E58" i="16"/>
  <c r="AD20" i="16"/>
  <c r="H30" i="16"/>
  <c r="C78" i="16"/>
  <c r="AC6" i="16"/>
  <c r="T5" i="16"/>
  <c r="D34" i="16"/>
  <c r="M49" i="16"/>
  <c r="J39" i="16"/>
  <c r="V39" i="16"/>
  <c r="D29" i="16"/>
  <c r="T39" i="16"/>
  <c r="Z10" i="16"/>
  <c r="C36" i="16"/>
  <c r="O37" i="16"/>
  <c r="J78" i="16"/>
  <c r="L32" i="16"/>
  <c r="AE35" i="16"/>
  <c r="C7" i="16"/>
  <c r="S14" i="16"/>
  <c r="P47" i="16"/>
  <c r="P26" i="16"/>
  <c r="B48" i="16"/>
  <c r="D73" i="16"/>
  <c r="I77" i="16"/>
  <c r="I41" i="16"/>
  <c r="Z33" i="16"/>
  <c r="M28" i="16"/>
  <c r="H81" i="16"/>
  <c r="AF30" i="16"/>
  <c r="B62" i="16"/>
  <c r="L15" i="16"/>
  <c r="J49" i="16"/>
  <c r="I75" i="16"/>
  <c r="P55" i="16"/>
  <c r="Y18" i="16"/>
  <c r="Q40" i="16"/>
  <c r="G27" i="16"/>
  <c r="L54" i="16"/>
  <c r="E40" i="16"/>
  <c r="N57" i="16"/>
  <c r="R33" i="16"/>
  <c r="R18" i="16"/>
  <c r="I10" i="16"/>
  <c r="N75" i="16"/>
  <c r="W18" i="16"/>
  <c r="AD38" i="16"/>
  <c r="B80" i="16"/>
  <c r="AD29" i="16"/>
  <c r="U40" i="16"/>
  <c r="T41" i="16"/>
  <c r="S12" i="16"/>
  <c r="AB35" i="16"/>
  <c r="AD7" i="16"/>
  <c r="X31" i="16"/>
  <c r="AF36" i="16"/>
  <c r="P78" i="16"/>
  <c r="N36" i="16"/>
  <c r="AE12" i="16"/>
  <c r="F38" i="16"/>
  <c r="N79" i="16"/>
  <c r="AA39" i="16"/>
  <c r="Y38" i="16"/>
  <c r="I71" i="16"/>
  <c r="C15" i="16"/>
  <c r="AA26" i="16"/>
  <c r="C58" i="16"/>
  <c r="V11" i="16"/>
  <c r="R26" i="16"/>
  <c r="N27" i="16"/>
  <c r="D35" i="16"/>
  <c r="L37" i="16"/>
  <c r="Z19" i="16"/>
  <c r="P71" i="16"/>
  <c r="I50" i="16"/>
  <c r="AD6" i="16"/>
  <c r="M52" i="16"/>
  <c r="P9" i="16"/>
  <c r="B34" i="16"/>
  <c r="AB15" i="16"/>
  <c r="B81" i="16"/>
  <c r="AE33" i="16"/>
  <c r="B18" i="16"/>
  <c r="G80" i="16"/>
  <c r="K54" i="16"/>
  <c r="Q78" i="16"/>
  <c r="AD11" i="16"/>
  <c r="K74" i="16"/>
  <c r="J50" i="16"/>
  <c r="O83" i="16"/>
  <c r="Y27" i="16"/>
  <c r="C37" i="16"/>
  <c r="AE18" i="16"/>
  <c r="J5" i="16"/>
  <c r="D47" i="16"/>
  <c r="D48" i="16"/>
  <c r="F14" i="16"/>
  <c r="E29" i="16"/>
  <c r="C70" i="16"/>
  <c r="O30" i="16"/>
  <c r="K79" i="16"/>
  <c r="I27" i="16"/>
  <c r="J7" i="16"/>
  <c r="F10" i="16"/>
  <c r="AD15" i="16"/>
  <c r="Y13" i="16"/>
  <c r="P60" i="16"/>
  <c r="AG35" i="16"/>
  <c r="L5" i="16"/>
  <c r="F61" i="16"/>
  <c r="P12" i="16"/>
  <c r="J26" i="16"/>
  <c r="F9" i="16"/>
  <c r="D38" i="16"/>
  <c r="H51" i="16"/>
  <c r="K9" i="16"/>
  <c r="D76" i="16"/>
  <c r="N80" i="16"/>
  <c r="AC13" i="16"/>
  <c r="B75" i="16"/>
  <c r="AB26" i="16"/>
  <c r="I28" i="16"/>
  <c r="J13" i="16"/>
  <c r="B49" i="16"/>
  <c r="I48" i="16"/>
  <c r="W28" i="16"/>
  <c r="G53" i="16"/>
  <c r="C28" i="16"/>
  <c r="G38" i="16"/>
  <c r="K57" i="16"/>
  <c r="X28" i="16"/>
  <c r="K68" i="16"/>
  <c r="M41" i="16"/>
  <c r="AD41" i="16"/>
  <c r="F79" i="16"/>
  <c r="V40" i="16"/>
  <c r="Y14" i="16"/>
  <c r="AF13" i="16"/>
  <c r="D78" i="16"/>
  <c r="H20" i="16"/>
  <c r="D57" i="16"/>
  <c r="J33" i="16"/>
  <c r="D53" i="16"/>
  <c r="O79" i="16"/>
  <c r="K12" i="16"/>
  <c r="Q74" i="16"/>
  <c r="B28" i="16"/>
  <c r="E68" i="16"/>
  <c r="I12" i="16"/>
  <c r="G49" i="16"/>
  <c r="AC11" i="16"/>
  <c r="J11" i="16"/>
  <c r="AD9" i="16"/>
  <c r="AD28" i="16"/>
  <c r="M76" i="16"/>
  <c r="U27" i="16"/>
  <c r="Y17" i="16"/>
  <c r="AD32" i="16"/>
  <c r="I69" i="16"/>
  <c r="H9" i="16"/>
  <c r="AF27" i="16"/>
  <c r="Z26" i="16"/>
  <c r="N81" i="16"/>
  <c r="H39" i="16"/>
  <c r="AE13" i="16"/>
  <c r="D61" i="16"/>
  <c r="E79" i="16"/>
  <c r="O77" i="16"/>
  <c r="B47" i="16"/>
  <c r="J83" i="16"/>
  <c r="J38" i="16"/>
  <c r="G52" i="16"/>
  <c r="K77" i="16"/>
  <c r="N69" i="16"/>
  <c r="G74" i="16"/>
  <c r="AB32" i="16"/>
  <c r="V41" i="16"/>
  <c r="D71" i="16"/>
  <c r="O32" i="16"/>
  <c r="L68" i="16"/>
  <c r="B53" i="16"/>
  <c r="C72" i="16"/>
  <c r="K83" i="16"/>
  <c r="N56" i="16"/>
  <c r="E47" i="16"/>
  <c r="X39" i="16"/>
  <c r="O59" i="16"/>
  <c r="H52" i="16"/>
  <c r="H5" i="16"/>
  <c r="X34" i="16"/>
  <c r="AF10" i="16"/>
  <c r="G17" i="16"/>
  <c r="C27" i="16"/>
  <c r="E34" i="16"/>
  <c r="M54" i="16"/>
  <c r="AE34" i="16"/>
  <c r="AG14" i="16"/>
  <c r="M82" i="16"/>
  <c r="Y12" i="16"/>
  <c r="P10" i="16"/>
  <c r="S29" i="16"/>
  <c r="N73" i="16"/>
  <c r="V33" i="16"/>
  <c r="M19" i="16"/>
  <c r="N35" i="16"/>
  <c r="N40" i="16"/>
  <c r="AG40" i="16"/>
  <c r="X40" i="16"/>
  <c r="AA16" i="16"/>
  <c r="C53" i="16"/>
  <c r="AA27" i="16"/>
  <c r="E71" i="16"/>
  <c r="P51" i="16"/>
  <c r="N82" i="16"/>
  <c r="H10" i="16"/>
  <c r="N41" i="16"/>
  <c r="Q51" i="16"/>
  <c r="AE16" i="16"/>
  <c r="AA9" i="16"/>
  <c r="L18" i="16"/>
  <c r="P72" i="16"/>
  <c r="I18" i="16"/>
  <c r="C62" i="16"/>
  <c r="X27" i="16"/>
  <c r="W14" i="16"/>
  <c r="B10" i="16"/>
  <c r="W40" i="16"/>
  <c r="O41" i="16"/>
  <c r="W20" i="16"/>
  <c r="B82" i="16"/>
  <c r="G31" i="16"/>
  <c r="C80" i="16"/>
  <c r="L61" i="16"/>
  <c r="H34" i="16"/>
  <c r="S34" i="16"/>
  <c r="V10" i="16"/>
  <c r="H18" i="16"/>
  <c r="B69" i="16"/>
  <c r="P35" i="16"/>
  <c r="G72" i="16"/>
  <c r="Q36" i="16"/>
  <c r="Q20" i="16"/>
  <c r="V8" i="16"/>
  <c r="W6" i="16"/>
  <c r="Q9" i="16"/>
  <c r="G47" i="16"/>
  <c r="N58" i="16"/>
  <c r="Q56" i="16"/>
  <c r="H40" i="16"/>
  <c r="AG10" i="16"/>
  <c r="C13" i="16"/>
  <c r="U32" i="16"/>
  <c r="Y5" i="16"/>
  <c r="S5" i="16"/>
  <c r="H17" i="16"/>
  <c r="Q70" i="16"/>
  <c r="C83" i="16"/>
  <c r="M74" i="16"/>
  <c r="L72" i="16"/>
  <c r="Z41" i="16"/>
  <c r="H78" i="16"/>
  <c r="D5" i="16"/>
  <c r="E83" i="16"/>
  <c r="J27" i="16"/>
  <c r="R19" i="16"/>
  <c r="U16" i="16"/>
  <c r="K15" i="16"/>
  <c r="C40" i="16"/>
  <c r="F49" i="16"/>
  <c r="AB20" i="16"/>
  <c r="Q14" i="16"/>
  <c r="P37" i="16"/>
  <c r="P15" i="16"/>
  <c r="L47" i="16"/>
  <c r="L6" i="16"/>
  <c r="U38" i="16"/>
  <c r="F26" i="16"/>
  <c r="H19" i="16"/>
  <c r="M17" i="16"/>
  <c r="R17" i="16"/>
  <c r="K35" i="16"/>
  <c r="U5" i="16"/>
  <c r="C55" i="16"/>
  <c r="U28" i="16"/>
  <c r="C69" i="16"/>
  <c r="J60" i="16"/>
  <c r="J41" i="16"/>
  <c r="AB16" i="16"/>
  <c r="D32" i="16"/>
  <c r="I13" i="16"/>
  <c r="B83" i="16"/>
  <c r="AG30" i="16"/>
  <c r="B74" i="16"/>
  <c r="V36" i="16"/>
  <c r="L33" i="16"/>
  <c r="S27" i="16"/>
  <c r="I34" i="16"/>
  <c r="Y19" i="16"/>
  <c r="B71" i="16"/>
  <c r="L28" i="16"/>
  <c r="O58" i="16"/>
  <c r="K31" i="16"/>
  <c r="G79" i="16"/>
  <c r="R14" i="16"/>
  <c r="R30" i="16"/>
  <c r="W10" i="16"/>
  <c r="K34" i="16"/>
  <c r="K78" i="16"/>
  <c r="B14" i="16"/>
  <c r="Y15" i="16"/>
  <c r="M13" i="16"/>
  <c r="K70" i="16"/>
  <c r="Z20" i="16"/>
  <c r="AF20" i="16"/>
  <c r="T40" i="16"/>
  <c r="Q81" i="16"/>
  <c r="W12" i="16"/>
  <c r="D12" i="16"/>
  <c r="D26" i="16"/>
  <c r="P31" i="16"/>
  <c r="AC9" i="16"/>
  <c r="AA32" i="16"/>
  <c r="Q28" i="16"/>
  <c r="L56" i="16"/>
  <c r="F74" i="16"/>
  <c r="Q10" i="16"/>
  <c r="Z36" i="16"/>
  <c r="B19" i="16"/>
  <c r="D15" i="16"/>
  <c r="X6" i="16"/>
  <c r="C31" i="16"/>
  <c r="O80" i="16"/>
  <c r="Y36" i="16"/>
  <c r="AD13" i="16"/>
  <c r="K13" i="16"/>
  <c r="O5" i="16"/>
  <c r="AE29" i="16"/>
  <c r="AB36" i="16"/>
  <c r="C76" i="16"/>
  <c r="N31" i="16"/>
  <c r="I9" i="16"/>
  <c r="H12" i="16"/>
  <c r="D36" i="16"/>
  <c r="J20" i="16"/>
  <c r="Q69" i="16"/>
  <c r="D59" i="16"/>
  <c r="Y10" i="16"/>
  <c r="AG16" i="16"/>
  <c r="C48" i="16"/>
  <c r="H37" i="16"/>
  <c r="O61" i="16"/>
  <c r="E50" i="16"/>
  <c r="AB28" i="16"/>
  <c r="AD34" i="16"/>
  <c r="Q34" i="16"/>
  <c r="H48" i="16"/>
  <c r="AG9" i="16"/>
  <c r="C79" i="16"/>
  <c r="J51" i="16"/>
  <c r="M57" i="16"/>
  <c r="AF6" i="16"/>
  <c r="C9" i="16"/>
  <c r="I17" i="16"/>
  <c r="K47" i="16"/>
  <c r="X15" i="16"/>
  <c r="L52" i="16"/>
  <c r="S37" i="16"/>
  <c r="M31" i="16"/>
  <c r="Q53" i="16"/>
  <c r="F35" i="16"/>
  <c r="O54" i="16"/>
  <c r="I31" i="16"/>
  <c r="O15" i="16"/>
  <c r="X37" i="16"/>
  <c r="G41" i="16"/>
  <c r="K30" i="16"/>
  <c r="AG15" i="16"/>
  <c r="I38" i="16"/>
  <c r="L80" i="16"/>
  <c r="M78" i="16"/>
  <c r="AA28" i="16"/>
  <c r="X35" i="16"/>
  <c r="AD39" i="16"/>
  <c r="B39" i="16"/>
  <c r="P29" i="16"/>
  <c r="P76" i="16"/>
  <c r="Z37" i="16"/>
  <c r="U8" i="16"/>
  <c r="I16" i="16"/>
  <c r="C8" i="16"/>
  <c r="H36" i="16"/>
  <c r="P50" i="16"/>
  <c r="B54" i="16"/>
  <c r="J62" i="16"/>
  <c r="L71" i="16"/>
  <c r="F52" i="16"/>
  <c r="L26" i="16"/>
  <c r="M34" i="16"/>
  <c r="C47" i="16"/>
  <c r="X14" i="16"/>
  <c r="H28" i="16"/>
  <c r="W13" i="16"/>
  <c r="AA18" i="16"/>
  <c r="M7" i="16"/>
  <c r="H73" i="16"/>
  <c r="O14" i="16"/>
  <c r="Z32" i="16"/>
  <c r="L41" i="16"/>
  <c r="AG26" i="16"/>
  <c r="N50" i="16"/>
  <c r="AC19" i="16"/>
  <c r="J77" i="16"/>
  <c r="O36" i="16"/>
  <c r="AB14" i="16"/>
  <c r="F6" i="16"/>
  <c r="Q72" i="16"/>
  <c r="E9" i="16"/>
  <c r="AG11" i="16"/>
  <c r="O48" i="16"/>
  <c r="N11" i="16"/>
  <c r="AC16" i="16"/>
  <c r="M37" i="16"/>
  <c r="M6" i="16"/>
  <c r="P19" i="16"/>
  <c r="C20" i="16"/>
  <c r="N14" i="16"/>
  <c r="H54" i="16"/>
  <c r="AA5" i="16"/>
  <c r="V19" i="16"/>
  <c r="P18" i="16"/>
  <c r="N68" i="16"/>
  <c r="B17" i="16"/>
  <c r="V37" i="16"/>
  <c r="F5" i="16"/>
  <c r="J68" i="16"/>
  <c r="F54" i="16"/>
  <c r="W26" i="16"/>
  <c r="AE37" i="16"/>
  <c r="U29" i="16"/>
  <c r="U34" i="16"/>
  <c r="M40" i="16"/>
  <c r="B31" i="16"/>
  <c r="D7" i="16"/>
  <c r="AA13" i="16"/>
  <c r="AG12" i="16"/>
  <c r="W33" i="16"/>
  <c r="B72" i="16"/>
  <c r="L36" i="16"/>
  <c r="AF29" i="16"/>
  <c r="P32" i="16"/>
  <c r="E38" i="16"/>
  <c r="D72" i="16"/>
  <c r="F40" i="16"/>
  <c r="M18" i="16"/>
  <c r="AD16" i="16"/>
  <c r="F32" i="16"/>
  <c r="O71" i="16"/>
  <c r="N15" i="16"/>
  <c r="D13" i="16"/>
  <c r="AA38" i="16"/>
  <c r="J71" i="16"/>
  <c r="AB18" i="16"/>
  <c r="H62" i="16"/>
  <c r="I52" i="16"/>
  <c r="I14" i="16"/>
  <c r="D31" i="16"/>
  <c r="K69" i="16"/>
  <c r="L50" i="16"/>
  <c r="O19" i="16"/>
  <c r="I61" i="16"/>
  <c r="I49" i="16"/>
  <c r="O38" i="16"/>
  <c r="M14" i="16"/>
  <c r="I37" i="16"/>
  <c r="N8" i="16"/>
  <c r="AA7" i="16"/>
  <c r="O17" i="16"/>
  <c r="D33" i="16"/>
  <c r="V34" i="16"/>
  <c r="G82" i="16"/>
  <c r="M79" i="16"/>
  <c r="W11" i="16"/>
  <c r="AD14" i="16"/>
  <c r="E10" i="16"/>
  <c r="J61" i="16"/>
  <c r="AA20" i="16"/>
  <c r="M69" i="16"/>
  <c r="AA19" i="16"/>
  <c r="X8" i="16"/>
  <c r="R38" i="16"/>
  <c r="Q49" i="16"/>
  <c r="AD5" i="16"/>
  <c r="R6" i="16"/>
  <c r="Z9" i="16"/>
  <c r="U26" i="16"/>
  <c r="G10" i="16"/>
  <c r="O76" i="16"/>
  <c r="AA10" i="16"/>
  <c r="O31" i="16"/>
  <c r="G58" i="16"/>
  <c r="R36" i="16"/>
  <c r="Q16" i="16"/>
  <c r="N78" i="16"/>
  <c r="H15" i="16"/>
  <c r="N52" i="16"/>
  <c r="Y32" i="16"/>
  <c r="L27" i="16"/>
  <c r="K11" i="16"/>
  <c r="P17" i="16"/>
  <c r="E36" i="16"/>
  <c r="D81" i="16"/>
  <c r="G30" i="16"/>
  <c r="P11" i="16"/>
  <c r="V32" i="16"/>
  <c r="R29" i="16"/>
  <c r="Q19" i="16"/>
  <c r="D9" i="16"/>
  <c r="W27" i="16"/>
  <c r="F82" i="16"/>
  <c r="L82" i="16"/>
  <c r="G57" i="16"/>
  <c r="W5" i="16"/>
  <c r="K76" i="16"/>
  <c r="E54" i="16"/>
  <c r="R41" i="16"/>
  <c r="T10" i="16"/>
  <c r="I76" i="16"/>
  <c r="B41" i="16"/>
  <c r="C14" i="16"/>
  <c r="M29" i="16"/>
  <c r="D11" i="16"/>
  <c r="O53" i="16"/>
  <c r="W8" i="16"/>
  <c r="M81" i="16"/>
  <c r="AE9" i="16"/>
  <c r="B11" i="16"/>
  <c r="P56" i="16"/>
  <c r="P57" i="16"/>
  <c r="R20" i="16"/>
  <c r="O16" i="16"/>
  <c r="I72" i="16"/>
  <c r="J70" i="16"/>
  <c r="R10" i="16"/>
  <c r="AB12" i="16"/>
  <c r="Z15" i="16"/>
  <c r="F71" i="16"/>
  <c r="L39" i="16"/>
  <c r="I35" i="16"/>
  <c r="M35" i="16"/>
  <c r="Z11" i="16"/>
  <c r="AG7" i="16"/>
  <c r="O73" i="16"/>
  <c r="AF33" i="16"/>
  <c r="I55" i="16"/>
  <c r="S6" i="16"/>
  <c r="H13" i="16"/>
  <c r="AD35" i="16"/>
  <c r="O55" i="16"/>
  <c r="I58" i="16"/>
  <c r="E19" i="16"/>
  <c r="E26" i="16"/>
  <c r="U12" i="16"/>
  <c r="AC37" i="16"/>
  <c r="O39" i="16"/>
  <c r="X19" i="16"/>
  <c r="AD36" i="16"/>
  <c r="X26" i="16"/>
  <c r="N39" i="16"/>
  <c r="AA31" i="16"/>
  <c r="B13" i="16"/>
  <c r="X38" i="16"/>
  <c r="AF16" i="16"/>
  <c r="AG34" i="16"/>
  <c r="B12" i="16"/>
  <c r="P30" i="16"/>
  <c r="O9" i="16"/>
  <c r="O10" i="16"/>
  <c r="S17" i="16"/>
  <c r="S15" i="16"/>
  <c r="B70" i="16"/>
  <c r="AA12" i="16"/>
  <c r="C54" i="16"/>
  <c r="I68" i="16"/>
  <c r="E5" i="16"/>
  <c r="P27" i="16"/>
  <c r="AD17" i="16"/>
  <c r="M5" i="16"/>
  <c r="S32" i="16"/>
  <c r="F78" i="16"/>
  <c r="O78" i="16"/>
  <c r="D69" i="16"/>
  <c r="I40" i="16"/>
  <c r="AA17" i="16"/>
  <c r="M61" i="16"/>
  <c r="H74" i="16"/>
  <c r="AD19" i="16"/>
  <c r="C39" i="16"/>
  <c r="E6" i="16"/>
  <c r="S16" i="16"/>
  <c r="AC31" i="16"/>
  <c r="W16" i="16"/>
  <c r="H57" i="16"/>
  <c r="J48" i="16"/>
  <c r="K26" i="16"/>
  <c r="N60" i="16"/>
  <c r="J17" i="16"/>
  <c r="AA8" i="16"/>
  <c r="D49" i="16"/>
  <c r="H68" i="16"/>
  <c r="G12" i="16"/>
  <c r="J12" i="16"/>
  <c r="U37" i="16"/>
  <c r="F70" i="16"/>
  <c r="V15" i="16"/>
  <c r="V6" i="16"/>
  <c r="V31" i="16"/>
  <c r="F15" i="16"/>
  <c r="G51" i="16"/>
  <c r="D16" i="16"/>
  <c r="T37" i="16"/>
  <c r="AC5" i="16"/>
  <c r="U20" i="16"/>
  <c r="V35" i="16"/>
  <c r="AE41" i="16"/>
  <c r="I7" i="16"/>
  <c r="L49" i="16"/>
  <c r="O49" i="16"/>
  <c r="V27" i="16"/>
  <c r="O50" i="16"/>
  <c r="Q26" i="16"/>
  <c r="X9" i="16"/>
  <c r="J81" i="16"/>
  <c r="N38" i="16"/>
  <c r="O62" i="16"/>
  <c r="AF19" i="16"/>
  <c r="D82" i="16"/>
  <c r="L40" i="16"/>
  <c r="F19" i="16"/>
  <c r="B20" i="16"/>
  <c r="P20" i="16"/>
  <c r="J30" i="16"/>
  <c r="L13" i="16"/>
  <c r="D80" i="16"/>
  <c r="AE10" i="16"/>
  <c r="R28" i="16"/>
  <c r="P48" i="16"/>
  <c r="D70" i="16"/>
  <c r="J36" i="16"/>
  <c r="J14" i="16"/>
  <c r="L38" i="16"/>
  <c r="M16" i="16"/>
  <c r="P62" i="16"/>
  <c r="E39" i="16"/>
  <c r="AB38" i="16"/>
  <c r="AF8" i="16"/>
  <c r="T14" i="16"/>
  <c r="J69" i="16"/>
  <c r="B36" i="16"/>
  <c r="X33" i="16"/>
  <c r="L59" i="16"/>
  <c r="M75" i="16"/>
  <c r="J35" i="16"/>
  <c r="J19" i="16"/>
  <c r="E27" i="16"/>
  <c r="N34" i="16"/>
  <c r="G18" i="16"/>
  <c r="G76" i="16"/>
  <c r="AC18" i="16"/>
  <c r="AC14" i="16"/>
  <c r="AF7" i="16"/>
  <c r="D58" i="16"/>
  <c r="J8" i="16"/>
  <c r="Y16" i="16"/>
  <c r="X12" i="16"/>
  <c r="V29" i="16"/>
  <c r="AB40" i="16"/>
  <c r="P13" i="16"/>
  <c r="X11" i="16"/>
  <c r="H6" i="16"/>
  <c r="F76" i="16"/>
  <c r="V20" i="16"/>
  <c r="M58" i="16"/>
  <c r="L79" i="16"/>
  <c r="E80" i="16"/>
  <c r="G40" i="16"/>
  <c r="F27" i="16"/>
  <c r="R27" i="16"/>
  <c r="R16" i="16"/>
  <c r="AA35" i="16"/>
  <c r="O33" i="16"/>
  <c r="X30" i="16"/>
  <c r="F69" i="16"/>
  <c r="P40" i="16"/>
  <c r="G29" i="16"/>
  <c r="P79" i="16"/>
  <c r="F17" i="16"/>
  <c r="J31" i="16"/>
  <c r="S18" i="16"/>
  <c r="W9" i="16"/>
  <c r="Y31" i="16"/>
  <c r="W32" i="16"/>
  <c r="Z16" i="16"/>
  <c r="T34" i="16"/>
  <c r="F36" i="16"/>
  <c r="V7" i="16"/>
  <c r="E12" i="16"/>
  <c r="K38" i="16"/>
  <c r="AG17" i="16"/>
  <c r="K32" i="16"/>
  <c r="V9" i="16"/>
  <c r="N76" i="16"/>
  <c r="W35" i="16"/>
  <c r="J18" i="16"/>
  <c r="Q41" i="16"/>
  <c r="L76" i="16"/>
  <c r="AD31" i="16"/>
  <c r="V18" i="16"/>
  <c r="P81" i="16"/>
  <c r="E13" i="16"/>
  <c r="G75" i="16"/>
  <c r="AC38" i="16"/>
  <c r="AF35" i="16"/>
  <c r="M11" i="16"/>
  <c r="D17" i="16"/>
  <c r="H82" i="16"/>
  <c r="K14" i="16"/>
  <c r="E73" i="16"/>
  <c r="H56" i="16"/>
  <c r="L11" i="16"/>
  <c r="Z14" i="16"/>
  <c r="P36" i="16"/>
  <c r="AB8" i="16"/>
  <c r="C77" i="16"/>
  <c r="F58" i="16"/>
  <c r="S41" i="16"/>
  <c r="E76" i="16"/>
  <c r="O20" i="16"/>
  <c r="K20" i="16"/>
  <c r="AF15" i="16"/>
  <c r="E77" i="16"/>
  <c r="AA11" i="16"/>
  <c r="G13" i="16"/>
  <c r="AC12" i="16"/>
  <c r="B32" i="16"/>
  <c r="T26" i="16"/>
  <c r="T38" i="16"/>
  <c r="F81" i="16"/>
  <c r="G6" i="16"/>
  <c r="E62" i="16"/>
  <c r="K18" i="16"/>
  <c r="I32" i="16"/>
  <c r="E57" i="16"/>
  <c r="L20" i="16"/>
  <c r="AE8" i="16"/>
  <c r="AF38" i="16"/>
  <c r="S30" i="16"/>
  <c r="G34" i="16"/>
  <c r="N74" i="16"/>
  <c r="H59" i="16"/>
  <c r="F51" i="16"/>
  <c r="E82" i="16"/>
  <c r="B76" i="16"/>
  <c r="N83" i="16"/>
  <c r="S40" i="16"/>
  <c r="G83" i="16"/>
  <c r="K49" i="16"/>
  <c r="G50" i="16"/>
  <c r="AB37" i="16"/>
  <c r="Z18" i="16"/>
  <c r="C29" i="16"/>
  <c r="U6" i="16"/>
  <c r="I29" i="16"/>
  <c r="AB34" i="16"/>
  <c r="C50" i="16"/>
  <c r="AF26" i="16"/>
  <c r="Q15" i="16"/>
  <c r="AC41" i="16"/>
  <c r="U36" i="16"/>
  <c r="T16" i="16"/>
  <c r="R8" i="16"/>
  <c r="K59" i="16"/>
  <c r="G7" i="16"/>
  <c r="B57" i="16"/>
  <c r="K48" i="16"/>
  <c r="B59" i="16"/>
  <c r="N5" i="16"/>
  <c r="AE31" i="16"/>
  <c r="I20" i="16"/>
  <c r="Q48" i="16"/>
  <c r="I80" i="16"/>
  <c r="C38" i="16"/>
  <c r="J80" i="16"/>
  <c r="B6" i="16"/>
  <c r="M32" i="16"/>
  <c r="O47" i="16"/>
  <c r="T18" i="16"/>
  <c r="X32" i="16"/>
  <c r="O35" i="16"/>
  <c r="E59" i="16"/>
  <c r="L75" i="16"/>
  <c r="AC27" i="16"/>
  <c r="G60" i="16"/>
  <c r="N61" i="16"/>
  <c r="H41" i="16"/>
  <c r="C16" i="16"/>
  <c r="K10" i="16"/>
  <c r="AE36" i="16"/>
  <c r="C57" i="16"/>
  <c r="H32" i="16"/>
  <c r="O75" i="16"/>
  <c r="S36" i="16"/>
  <c r="B55" i="16"/>
  <c r="F80" i="16"/>
  <c r="D83" i="16"/>
  <c r="P6" i="16"/>
  <c r="O70" i="16"/>
  <c r="AE11" i="16"/>
  <c r="AD27" i="16"/>
  <c r="Q6" i="16"/>
  <c r="K28" i="16"/>
  <c r="E17" i="16"/>
  <c r="N29" i="16"/>
  <c r="N51" i="16"/>
  <c r="D50" i="16"/>
  <c r="H71" i="16"/>
  <c r="I70" i="16"/>
  <c r="Q7" i="16"/>
  <c r="G70" i="16"/>
  <c r="E81" i="16"/>
  <c r="Q50" i="16"/>
  <c r="B56" i="16"/>
  <c r="R37" i="16"/>
  <c r="U9" i="16"/>
  <c r="O74" i="16"/>
  <c r="O18" i="16"/>
  <c r="Z34" i="16"/>
  <c r="Q68" i="16"/>
  <c r="H76" i="16"/>
  <c r="B58" i="16"/>
  <c r="AG38" i="16"/>
  <c r="M15" i="16"/>
  <c r="AB5" i="16"/>
  <c r="T12" i="16"/>
  <c r="K17" i="16"/>
  <c r="J40" i="16"/>
  <c r="AD8" i="16"/>
  <c r="M59" i="16"/>
  <c r="K39" i="16"/>
  <c r="AE39" i="16"/>
  <c r="C81" i="16"/>
  <c r="G35" i="16"/>
  <c r="N17" i="16"/>
  <c r="T28" i="16"/>
  <c r="AE27" i="16"/>
  <c r="D40" i="16"/>
  <c r="S39" i="16"/>
  <c r="Y28" i="16"/>
  <c r="AG5" i="16"/>
  <c r="AG18" i="16"/>
  <c r="Q11" i="16"/>
  <c r="H29" i="16"/>
  <c r="H61" i="16"/>
  <c r="N54" i="16"/>
  <c r="I81" i="16"/>
  <c r="X18" i="16"/>
  <c r="H11" i="16"/>
  <c r="Y40" i="16"/>
  <c r="N18" i="16"/>
  <c r="N7" i="16"/>
  <c r="AG41" i="16"/>
  <c r="AA14" i="16"/>
  <c r="M47" i="16"/>
  <c r="W15" i="16"/>
  <c r="AB39" i="16"/>
  <c r="J29" i="16"/>
  <c r="O28" i="16"/>
  <c r="N72" i="16"/>
  <c r="R35" i="16"/>
  <c r="B40" i="16"/>
  <c r="K81" i="16"/>
  <c r="L16" i="16"/>
  <c r="D62" i="16"/>
  <c r="G15" i="16"/>
  <c r="B26" i="16"/>
  <c r="D41" i="16"/>
  <c r="AC40" i="16"/>
  <c r="G69" i="16"/>
  <c r="K73" i="16"/>
  <c r="E53" i="16"/>
  <c r="I59" i="16"/>
  <c r="AB10" i="16"/>
  <c r="L12" i="16"/>
  <c r="U13" i="16"/>
  <c r="M39" i="16"/>
  <c r="G37" i="16"/>
  <c r="N6" i="16"/>
  <c r="S35" i="16"/>
  <c r="O51" i="16"/>
  <c r="N70" i="16"/>
  <c r="J10" i="16"/>
  <c r="N19" i="16"/>
  <c r="F12" i="16"/>
  <c r="P34" i="16"/>
  <c r="L14" i="16"/>
  <c r="E78" i="16"/>
  <c r="G54" i="16"/>
  <c r="K52" i="16"/>
  <c r="O34" i="16"/>
  <c r="G19" i="16"/>
  <c r="L35" i="16"/>
  <c r="O6" i="16"/>
  <c r="T6" i="16"/>
  <c r="H53" i="16"/>
  <c r="G5" i="16"/>
  <c r="W41" i="16"/>
  <c r="AG20" i="16"/>
  <c r="T20" i="16"/>
  <c r="L53" i="16"/>
  <c r="AG13" i="16"/>
  <c r="B79" i="16"/>
  <c r="W34" i="16"/>
  <c r="N53" i="16"/>
  <c r="AE19" i="16"/>
  <c r="L51" i="16"/>
  <c r="H55" i="16"/>
  <c r="B9" i="16"/>
  <c r="Q55" i="16"/>
  <c r="E41" i="16"/>
  <c r="AG6" i="16"/>
  <c r="K27" i="16"/>
  <c r="D8" i="16"/>
  <c r="C71" i="16"/>
  <c r="F77" i="16"/>
  <c r="Z39" i="16"/>
  <c r="B30" i="16"/>
  <c r="E33" i="16"/>
  <c r="O57" i="16"/>
  <c r="M30" i="16"/>
  <c r="Z28" i="16"/>
  <c r="Y33" i="16"/>
  <c r="Z38" i="16"/>
  <c r="L60" i="16"/>
  <c r="L29" i="16"/>
  <c r="Q32" i="16"/>
  <c r="Q30" i="16"/>
  <c r="P80" i="16"/>
  <c r="L70" i="16"/>
  <c r="E14" i="16"/>
  <c r="G28" i="16"/>
  <c r="D19" i="16"/>
  <c r="R46" i="20" l="1"/>
  <c r="S37" i="20"/>
  <c r="S46" i="20"/>
  <c r="F52" i="20"/>
  <c r="Q181" i="18"/>
  <c r="F37" i="20"/>
  <c r="Q166" i="18"/>
  <c r="G109" i="19"/>
  <c r="R211" i="17"/>
  <c r="P43" i="20"/>
  <c r="S43" i="20" s="1"/>
  <c r="Q388" i="18"/>
  <c r="O50" i="20"/>
  <c r="Q455" i="18"/>
  <c r="Q427" i="17"/>
  <c r="N51" i="19"/>
  <c r="M41" i="19"/>
  <c r="R42" i="20" s="1"/>
  <c r="Q232" i="17"/>
  <c r="Q195" i="17"/>
  <c r="G35" i="19"/>
  <c r="J37" i="19"/>
  <c r="Q290" i="17"/>
  <c r="D51" i="20"/>
  <c r="Q118" i="18"/>
  <c r="C51" i="20"/>
  <c r="Q88" i="18"/>
  <c r="D43" i="20"/>
  <c r="Q110" i="18"/>
  <c r="N52" i="20"/>
  <c r="Q427" i="18"/>
  <c r="F46" i="20"/>
  <c r="Q175" i="18"/>
  <c r="E109" i="19"/>
  <c r="R150" i="17"/>
  <c r="H42" i="20"/>
  <c r="Q42" i="20" s="1"/>
  <c r="Q16" i="18"/>
  <c r="F99" i="19"/>
  <c r="R171" i="17"/>
  <c r="Q206" i="18"/>
  <c r="R59" i="18"/>
  <c r="Q170" i="17"/>
  <c r="Q233" i="18"/>
  <c r="Q423" i="17"/>
  <c r="R201" i="17"/>
  <c r="R167" i="17"/>
  <c r="Q169" i="17"/>
  <c r="Q26" i="17"/>
  <c r="R27" i="18"/>
  <c r="Q169" i="18"/>
  <c r="Q84" i="17"/>
  <c r="E110" i="19"/>
  <c r="R118" i="18"/>
  <c r="Q46" i="20"/>
  <c r="Q47" i="20"/>
  <c r="S52" i="20"/>
  <c r="Q53" i="20"/>
  <c r="Q36" i="20"/>
  <c r="Q5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D91782EB-1714-4237-92C0-A75075F127C8}">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28" authorId="0" shapeId="0" xr:uid="{9F2E64F2-F0A3-463D-AA6F-99BD8C64E057}">
      <text>
        <r>
          <rPr>
            <b/>
            <sz val="9"/>
            <color indexed="81"/>
            <rFont val="Tahoma"/>
            <family val="2"/>
          </rPr>
          <t>jmarks:</t>
        </r>
        <r>
          <rPr>
            <sz val="9"/>
            <color indexed="81"/>
            <rFont val="Tahoma"/>
            <family val="2"/>
          </rPr>
          <t xml:space="preserve">
Note will need to be revised as there are more "15s" now.</t>
        </r>
      </text>
    </comment>
    <comment ref="I28" authorId="0" shapeId="0" xr:uid="{0573C912-C99C-4E85-A7D3-2C09124D3902}">
      <text>
        <r>
          <rPr>
            <b/>
            <sz val="9"/>
            <color indexed="81"/>
            <rFont val="Tahoma"/>
            <family val="2"/>
          </rPr>
          <t>jmarks:</t>
        </r>
        <r>
          <rPr>
            <sz val="9"/>
            <color indexed="81"/>
            <rFont val="Tahoma"/>
            <family val="2"/>
          </rPr>
          <t xml:space="preserve">
Note will need to be revised as there are more "15s" now.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A2369B22-C1D0-4723-A019-7E4FE2813C5E}">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A28" authorId="0" shapeId="0" xr:uid="{0CA91A1C-CF59-42EF-AA40-4D02C176E4ED}">
      <text>
        <r>
          <rPr>
            <b/>
            <sz val="9"/>
            <color indexed="81"/>
            <rFont val="Tahoma"/>
            <family val="2"/>
          </rPr>
          <t>jmarks:</t>
        </r>
        <r>
          <rPr>
            <sz val="9"/>
            <color indexed="81"/>
            <rFont val="Tahoma"/>
            <family val="2"/>
          </rPr>
          <t xml:space="preserve">
Note will need to be revised as there are more "15s" now.</t>
        </r>
      </text>
    </comment>
    <comment ref="I28" authorId="0" shapeId="0" xr:uid="{FF262CA8-D58A-4239-AEFA-081A3E3FE1C3}">
      <text>
        <r>
          <rPr>
            <b/>
            <sz val="9"/>
            <color indexed="81"/>
            <rFont val="Tahoma"/>
            <family val="2"/>
          </rPr>
          <t>jmarks:</t>
        </r>
        <r>
          <rPr>
            <sz val="9"/>
            <color indexed="81"/>
            <rFont val="Tahoma"/>
            <family val="2"/>
          </rPr>
          <t xml:space="preserve">
Note will need to be revised as there are more "15s" now.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mloverde</author>
    <author>Excel Validator</author>
  </authors>
  <commentList>
    <comment ref="F2" authorId="0" shapeId="0" xr:uid="{01FA2201-9D42-4850-AF6E-8BD10CE1BBF7}">
      <text>
        <r>
          <rPr>
            <b/>
            <sz val="11"/>
            <color rgb="FF000000"/>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B215" authorId="1" shapeId="0" xr:uid="{9DBC2DF4-8D3C-4355-AACC-E864BBFEBC3F}">
      <text>
        <r>
          <rPr>
            <sz val="8"/>
            <color rgb="FF000000"/>
            <rFont val="Tahoma"/>
            <family val="2"/>
          </rPr>
          <t>Moderate Warning  AA003:  Institution name is invalid.</t>
        </r>
      </text>
    </comment>
    <comment ref="D215" authorId="1" shapeId="0" xr:uid="{923C1230-1E13-404C-B480-EF5D36DFA182}">
      <text>
        <r>
          <rPr>
            <sz val="8"/>
            <color rgb="FF000000"/>
            <rFont val="Tahoma"/>
            <family val="2"/>
          </rPr>
          <t>Moderate Warning  AA004:  IPEDS code is invalid.</t>
        </r>
      </text>
    </comment>
    <comment ref="AC215" authorId="1" shapeId="0" xr:uid="{5D072E76-1CD9-4071-B6D4-F62A7332C2C4}">
      <text>
        <r>
          <rPr>
            <sz val="8"/>
            <color rgb="FF000000"/>
            <rFont val="Tahoma"/>
            <family val="2"/>
          </rPr>
          <t xml:space="preserve">Severe Warning  AA009:  Substantial Metric difference from prior year &gt;=100% </t>
        </r>
      </text>
    </comment>
    <comment ref="AE215" authorId="1" shapeId="0" xr:uid="{039805C7-16E3-408E-9019-A23BED6BBC98}">
      <text>
        <r>
          <rPr>
            <sz val="8"/>
            <color rgb="FF000000"/>
            <rFont val="Tahoma"/>
            <family val="2"/>
          </rPr>
          <t>Moderate Warning  AA008:  Large Metric difference from prior year &gt;= 50%</t>
        </r>
      </text>
    </comment>
    <comment ref="I253" authorId="1" shapeId="0" xr:uid="{F985C4D8-0C17-478D-A7AA-4A274A732176}">
      <text>
        <r>
          <rPr>
            <sz val="8"/>
            <color rgb="FF000000"/>
            <rFont val="Tahoma"/>
            <family val="2"/>
          </rPr>
          <t xml:space="preserve">Low Warning  AA006:  Metric difference from prior year &gt;= 20% </t>
        </r>
      </text>
    </comment>
    <comment ref="K253" authorId="1" shapeId="0" xr:uid="{A0A67A5F-1AEA-45EF-BC3F-345BA8EE21DB}">
      <text>
        <r>
          <rPr>
            <sz val="8"/>
            <color rgb="FF000000"/>
            <rFont val="Tahoma"/>
            <family val="2"/>
          </rPr>
          <t>Moderate Warning  AA008:  Large Metric difference from prior year &gt;= 50%</t>
        </r>
      </text>
    </comment>
    <comment ref="O253" authorId="1" shapeId="0" xr:uid="{154592F2-56C2-41E0-80EE-1E08F3BA8D47}">
      <text>
        <r>
          <rPr>
            <sz val="8"/>
            <color rgb="FF000000"/>
            <rFont val="Tahoma"/>
            <family val="2"/>
          </rPr>
          <t>Moderate Warning  AA008:  Large Metric difference from prior year &gt;= 50%</t>
        </r>
      </text>
    </comment>
    <comment ref="I254" authorId="1" shapeId="0" xr:uid="{9CDE4919-939A-4CC0-A63D-2878A3886A48}">
      <text>
        <r>
          <rPr>
            <sz val="8"/>
            <color rgb="FF000000"/>
            <rFont val="Tahoma"/>
            <family val="2"/>
          </rPr>
          <t xml:space="preserve">Low Warning  AA006:  Metric difference from prior year &gt;= 20% </t>
        </r>
      </text>
    </comment>
    <comment ref="K254" authorId="1" shapeId="0" xr:uid="{AECBC79D-DAC6-446C-8803-A7E7D7D182F5}">
      <text>
        <r>
          <rPr>
            <sz val="8"/>
            <color rgb="FF000000"/>
            <rFont val="Tahoma"/>
            <family val="2"/>
          </rPr>
          <t xml:space="preserve">Low Warning  AA006:  Metric difference from prior year &gt;= 20% </t>
        </r>
      </text>
    </comment>
    <comment ref="O254" authorId="1" shapeId="0" xr:uid="{E7D8305C-19BC-4FA9-8661-C50145C49C50}">
      <text>
        <r>
          <rPr>
            <sz val="8"/>
            <color rgb="FF000000"/>
            <rFont val="Tahoma"/>
            <family val="2"/>
          </rPr>
          <t>Moderate Warning  AA008:  Large Metric difference from prior year &gt;= 50%</t>
        </r>
      </text>
    </comment>
    <comment ref="I255" authorId="1" shapeId="0" xr:uid="{F6647F78-996E-4D9D-85C9-6300A9BCFBEA}">
      <text>
        <r>
          <rPr>
            <sz val="8"/>
            <color rgb="FF000000"/>
            <rFont val="Tahoma"/>
            <family val="2"/>
          </rPr>
          <t xml:space="preserve">Low Warning  AA006:  Metric difference from prior year &gt;= 20% </t>
        </r>
      </text>
    </comment>
    <comment ref="K255" authorId="1" shapeId="0" xr:uid="{5D58CAF0-D10F-40B6-8411-CE2DB992C534}">
      <text>
        <r>
          <rPr>
            <sz val="8"/>
            <color rgb="FF000000"/>
            <rFont val="Tahoma"/>
            <family val="2"/>
          </rPr>
          <t xml:space="preserve">Low Warning  AA006:  Metric difference from prior year &gt;= 20% </t>
        </r>
      </text>
    </comment>
    <comment ref="O255" authorId="1" shapeId="0" xr:uid="{85805CA6-E320-44B7-B862-2CD19F7105B0}">
      <text>
        <r>
          <rPr>
            <sz val="8"/>
            <color rgb="FF000000"/>
            <rFont val="Tahoma"/>
            <family val="2"/>
          </rPr>
          <t>Moderate Warning  AA008:  Large Metric difference from prior year &gt;= 50%</t>
        </r>
      </text>
    </comment>
    <comment ref="I256" authorId="1" shapeId="0" xr:uid="{C1B14EBF-FB18-41F8-A0B8-DC1237230D10}">
      <text>
        <r>
          <rPr>
            <sz val="8"/>
            <color rgb="FF000000"/>
            <rFont val="Tahoma"/>
            <family val="2"/>
          </rPr>
          <t xml:space="preserve">Low Warning  AA006:  Metric difference from prior year &gt;= 20% </t>
        </r>
      </text>
    </comment>
    <comment ref="K256" authorId="1" shapeId="0" xr:uid="{1DD2FFDC-5BEB-46D2-9352-E0406F1FFA58}">
      <text>
        <r>
          <rPr>
            <sz val="8"/>
            <color rgb="FF000000"/>
            <rFont val="Tahoma"/>
            <family val="2"/>
          </rPr>
          <t xml:space="preserve">Low Warning  AA006:  Metric difference from prior year &gt;= 20% </t>
        </r>
      </text>
    </comment>
    <comment ref="O256" authorId="1" shapeId="0" xr:uid="{7E511BE0-1096-407F-A174-6F651C68783D}">
      <text>
        <r>
          <rPr>
            <sz val="8"/>
            <color rgb="FF000000"/>
            <rFont val="Tahoma"/>
            <family val="2"/>
          </rPr>
          <t>Moderate Warning  AA008:  Large Metric difference from prior year &gt;= 50%</t>
        </r>
      </text>
    </comment>
    <comment ref="I257" authorId="1" shapeId="0" xr:uid="{3A179CB6-B010-43CA-8EE7-B7BA0A617999}">
      <text>
        <r>
          <rPr>
            <sz val="8"/>
            <color rgb="FF000000"/>
            <rFont val="Tahoma"/>
            <family val="2"/>
          </rPr>
          <t xml:space="preserve">Low Warning  AA006:  Metric difference from prior year &gt;= 20% </t>
        </r>
      </text>
    </comment>
    <comment ref="K257" authorId="1" shapeId="0" xr:uid="{FE38A6BB-3B86-4B16-9D03-C0763B59C10C}">
      <text>
        <r>
          <rPr>
            <sz val="8"/>
            <color rgb="FF000000"/>
            <rFont val="Tahoma"/>
            <family val="2"/>
          </rPr>
          <t>Moderate Warning  AA008:  Large Metric difference from prior year &gt;= 50%</t>
        </r>
      </text>
    </comment>
    <comment ref="O257" authorId="1" shapeId="0" xr:uid="{0DE892EF-0BC4-4481-AFE9-7255B1B0ABFB}">
      <text>
        <r>
          <rPr>
            <sz val="8"/>
            <color rgb="FF000000"/>
            <rFont val="Tahoma"/>
            <family val="2"/>
          </rPr>
          <t>Moderate Warning  AA008:  Large Metric difference from prior year &gt;= 50%</t>
        </r>
      </text>
    </comment>
    <comment ref="I258" authorId="1" shapeId="0" xr:uid="{CE64E52C-9AB0-4D9F-8FCA-C20B6DCFDE89}">
      <text>
        <r>
          <rPr>
            <sz val="8"/>
            <color rgb="FF000000"/>
            <rFont val="Tahoma"/>
            <family val="2"/>
          </rPr>
          <t xml:space="preserve">Low Warning  AA006:  Metric difference from prior year &gt;= 20% </t>
        </r>
      </text>
    </comment>
    <comment ref="K258" authorId="1" shapeId="0" xr:uid="{31701EB6-6B03-4583-B92C-7F864399AA2B}">
      <text>
        <r>
          <rPr>
            <sz val="8"/>
            <color rgb="FF000000"/>
            <rFont val="Tahoma"/>
            <family val="2"/>
          </rPr>
          <t xml:space="preserve">Low Warning  AA006:  Metric difference from prior year &gt;= 20% </t>
        </r>
      </text>
    </comment>
    <comment ref="O258" authorId="1" shapeId="0" xr:uid="{D6FFEC05-BD76-42E6-9D59-6A19F94960A1}">
      <text>
        <r>
          <rPr>
            <sz val="8"/>
            <color rgb="FF000000"/>
            <rFont val="Tahoma"/>
            <family val="2"/>
          </rPr>
          <t>Moderate Warning  AA008:  Large Metric difference from prior year &gt;= 50%</t>
        </r>
      </text>
    </comment>
    <comment ref="I259" authorId="1" shapeId="0" xr:uid="{289BE402-51D5-4851-BB56-8FE80F543AB6}">
      <text>
        <r>
          <rPr>
            <sz val="8"/>
            <color rgb="FF000000"/>
            <rFont val="Tahoma"/>
            <family val="2"/>
          </rPr>
          <t xml:space="preserve">Low Warning  AA006:  Metric difference from prior year &gt;= 20% </t>
        </r>
      </text>
    </comment>
    <comment ref="K259" authorId="1" shapeId="0" xr:uid="{5E764B6A-CCAD-4589-8BE6-21BDF3B87BF4}">
      <text>
        <r>
          <rPr>
            <sz val="8"/>
            <color rgb="FF000000"/>
            <rFont val="Tahoma"/>
            <family val="2"/>
          </rPr>
          <t xml:space="preserve">Low Warning  AA006:  Metric difference from prior year &gt;= 20% </t>
        </r>
      </text>
    </comment>
    <comment ref="O259" authorId="1" shapeId="0" xr:uid="{C2056C10-FAD6-40F7-87D7-F4E2430F1997}">
      <text>
        <r>
          <rPr>
            <sz val="8"/>
            <color rgb="FF000000"/>
            <rFont val="Tahoma"/>
            <family val="2"/>
          </rPr>
          <t>Moderate Warning  AA008:  Large Metric difference from prior year &gt;= 50%</t>
        </r>
      </text>
    </comment>
    <comment ref="I260" authorId="1" shapeId="0" xr:uid="{0C4DDDCA-F7BD-4BBE-B584-7A4215388CB3}">
      <text>
        <r>
          <rPr>
            <sz val="8"/>
            <color rgb="FF000000"/>
            <rFont val="Tahoma"/>
            <family val="2"/>
          </rPr>
          <t>Moderate Warning  AA008:  Large Metric difference from prior year &gt;= 50%</t>
        </r>
      </text>
    </comment>
    <comment ref="K260" authorId="1" shapeId="0" xr:uid="{5578AF86-B624-4787-A88A-65480449E089}">
      <text>
        <r>
          <rPr>
            <sz val="8"/>
            <color rgb="FF000000"/>
            <rFont val="Tahoma"/>
            <family val="2"/>
          </rPr>
          <t>Moderate Warning  AA008:  Large Metric difference from prior year &gt;= 50%</t>
        </r>
      </text>
    </comment>
    <comment ref="O260" authorId="1" shapeId="0" xr:uid="{18AC59A0-7B37-415D-A4EE-0957C0042946}">
      <text>
        <r>
          <rPr>
            <sz val="8"/>
            <color rgb="FF000000"/>
            <rFont val="Tahoma"/>
            <family val="2"/>
          </rPr>
          <t>Moderate Warning  AA008:  Large Metric difference from prior year &gt;= 50%</t>
        </r>
      </text>
    </comment>
    <comment ref="I261" authorId="1" shapeId="0" xr:uid="{5E49AC5C-A2AD-4DA8-8B9B-4EC772503D36}">
      <text>
        <r>
          <rPr>
            <sz val="8"/>
            <color rgb="FF000000"/>
            <rFont val="Tahoma"/>
            <family val="2"/>
          </rPr>
          <t xml:space="preserve">Low Warning  AA006:  Metric difference from prior year &gt;= 20% </t>
        </r>
      </text>
    </comment>
    <comment ref="O261" authorId="1" shapeId="0" xr:uid="{1C074C3E-8A09-4064-890F-43A624C9B23D}">
      <text>
        <r>
          <rPr>
            <sz val="8"/>
            <color rgb="FF000000"/>
            <rFont val="Tahoma"/>
            <family val="2"/>
          </rPr>
          <t>Moderate Warning  AA008:  Large Metric difference from prior year &gt;= 50%</t>
        </r>
      </text>
    </comment>
    <comment ref="I262" authorId="1" shapeId="0" xr:uid="{069F4131-98FF-4FA1-B83F-02F5E35D8101}">
      <text>
        <r>
          <rPr>
            <sz val="8"/>
            <color rgb="FF000000"/>
            <rFont val="Tahoma"/>
            <family val="2"/>
          </rPr>
          <t xml:space="preserve">Low Warning  AA006:  Metric difference from prior year &gt;= 20% </t>
        </r>
      </text>
    </comment>
    <comment ref="K262" authorId="1" shapeId="0" xr:uid="{DD38FEF3-684E-4BCE-9055-580457986E14}">
      <text>
        <r>
          <rPr>
            <sz val="8"/>
            <color rgb="FF000000"/>
            <rFont val="Tahoma"/>
            <family val="2"/>
          </rPr>
          <t xml:space="preserve">Low Warning  AA006:  Metric difference from prior year &gt;= 20% </t>
        </r>
      </text>
    </comment>
    <comment ref="O262" authorId="1" shapeId="0" xr:uid="{E8CD0E0D-4EF9-49B9-A03F-0CC07DCB5329}">
      <text>
        <r>
          <rPr>
            <sz val="8"/>
            <color rgb="FF000000"/>
            <rFont val="Tahoma"/>
            <family val="2"/>
          </rPr>
          <t>Moderate Warning  AA008:  Large Metric difference from prior year &gt;= 50%</t>
        </r>
      </text>
    </comment>
    <comment ref="I263" authorId="1" shapeId="0" xr:uid="{78049D11-27EE-4B05-AB43-4CA6DA2DDCA2}">
      <text>
        <r>
          <rPr>
            <sz val="8"/>
            <color rgb="FF000000"/>
            <rFont val="Tahoma"/>
            <family val="2"/>
          </rPr>
          <t xml:space="preserve">Low Warning  AA006:  Metric difference from prior year &gt;= 20% </t>
        </r>
      </text>
    </comment>
    <comment ref="K263" authorId="1" shapeId="0" xr:uid="{7D41DD9A-66B8-4993-ADEB-3A4A5316F86E}">
      <text>
        <r>
          <rPr>
            <sz val="8"/>
            <color rgb="FF000000"/>
            <rFont val="Tahoma"/>
            <family val="2"/>
          </rPr>
          <t xml:space="preserve">Low Warning  AA006:  Metric difference from prior year &gt;= 20% </t>
        </r>
      </text>
    </comment>
    <comment ref="O263" authorId="1" shapeId="0" xr:uid="{8D346763-37CA-4F6C-94D6-B9D63EF531F0}">
      <text>
        <r>
          <rPr>
            <sz val="8"/>
            <color rgb="FF000000"/>
            <rFont val="Tahoma"/>
            <family val="2"/>
          </rPr>
          <t>Moderate Warning  AA008:  Large Metric difference from prior year &gt;= 50%</t>
        </r>
      </text>
    </comment>
    <comment ref="I264" authorId="1" shapeId="0" xr:uid="{269168BF-3170-4021-A32B-1C08D4895465}">
      <text>
        <r>
          <rPr>
            <sz val="8"/>
            <color rgb="FF000000"/>
            <rFont val="Tahoma"/>
            <family val="2"/>
          </rPr>
          <t>Moderate Warning  AA008:  Large Metric difference from prior year &gt;= 50%</t>
        </r>
      </text>
    </comment>
    <comment ref="O264" authorId="1" shapeId="0" xr:uid="{5CE2001B-C9EA-4F7B-9100-F0A1396A62CE}">
      <text>
        <r>
          <rPr>
            <sz val="8"/>
            <color rgb="FF000000"/>
            <rFont val="Tahoma"/>
            <family val="2"/>
          </rPr>
          <t>Moderate Warning  AA008:  Large Metric difference from prior year &gt;= 50%</t>
        </r>
      </text>
    </comment>
    <comment ref="I265" authorId="1" shapeId="0" xr:uid="{8504E2D8-0BC1-45CE-955B-A87E526CED1E}">
      <text>
        <r>
          <rPr>
            <sz val="8"/>
            <color rgb="FF000000"/>
            <rFont val="Tahoma"/>
            <family val="2"/>
          </rPr>
          <t xml:space="preserve">Low Warning  AA006:  Metric difference from prior year &gt;= 20% </t>
        </r>
      </text>
    </comment>
    <comment ref="K265" authorId="1" shapeId="0" xr:uid="{5229D7D8-6EB9-42CD-A35E-AE68AA740309}">
      <text>
        <r>
          <rPr>
            <sz val="8"/>
            <color rgb="FF000000"/>
            <rFont val="Tahoma"/>
            <family val="2"/>
          </rPr>
          <t>Moderate Warning  AA008:  Large Metric difference from prior year &gt;= 50%</t>
        </r>
      </text>
    </comment>
    <comment ref="O265" authorId="1" shapeId="0" xr:uid="{C72824BB-941B-4C97-A5B7-737F3EC3330D}">
      <text>
        <r>
          <rPr>
            <sz val="8"/>
            <color rgb="FF000000"/>
            <rFont val="Tahoma"/>
            <family val="2"/>
          </rPr>
          <t>Moderate Warning  AA008:  Large Metric difference from prior year &gt;= 50%</t>
        </r>
      </text>
    </comment>
    <comment ref="I266" authorId="1" shapeId="0" xr:uid="{9651056A-B88F-482F-B59D-8E778A13A44E}">
      <text>
        <r>
          <rPr>
            <sz val="8"/>
            <color rgb="FF000000"/>
            <rFont val="Tahoma"/>
            <family val="2"/>
          </rPr>
          <t xml:space="preserve">Low Warning  AA006:  Metric difference from prior year &gt;= 20% </t>
        </r>
      </text>
    </comment>
    <comment ref="K266" authorId="1" shapeId="0" xr:uid="{95BC9825-9847-433D-98EA-F32871AC5C95}">
      <text>
        <r>
          <rPr>
            <sz val="8"/>
            <color rgb="FF000000"/>
            <rFont val="Tahoma"/>
            <family val="2"/>
          </rPr>
          <t xml:space="preserve">Low Warning  AA006:  Metric difference from prior year &gt;= 20% </t>
        </r>
      </text>
    </comment>
    <comment ref="O266" authorId="1" shapeId="0" xr:uid="{EF0CF594-AEC8-46F2-AB45-A51B62B4FFE2}">
      <text>
        <r>
          <rPr>
            <sz val="8"/>
            <color rgb="FF000000"/>
            <rFont val="Tahoma"/>
            <family val="2"/>
          </rPr>
          <t>Moderate Warning  AA008:  Large Metric difference from prior year &gt;= 50%</t>
        </r>
      </text>
    </comment>
    <comment ref="I267" authorId="1" shapeId="0" xr:uid="{1F09CE40-2D37-4903-B224-1BA52218B385}">
      <text>
        <r>
          <rPr>
            <sz val="8"/>
            <color rgb="FF000000"/>
            <rFont val="Tahoma"/>
            <family val="2"/>
          </rPr>
          <t xml:space="preserve">Low Warning  AA006:  Metric difference from prior year &gt;= 20% </t>
        </r>
      </text>
    </comment>
    <comment ref="O267" authorId="1" shapeId="0" xr:uid="{BADC9A0C-2B5F-42AE-9968-8F09914E544B}">
      <text>
        <r>
          <rPr>
            <sz val="8"/>
            <color rgb="FF000000"/>
            <rFont val="Tahoma"/>
            <family val="2"/>
          </rPr>
          <t>Moderate Warning  AA008:  Large Metric difference from prior year &gt;= 50%</t>
        </r>
      </text>
    </comment>
    <comment ref="AC342" authorId="1" shapeId="0" xr:uid="{866AB019-BFE2-47E3-8221-EF5718714075}">
      <text>
        <r>
          <rPr>
            <sz val="8"/>
            <color rgb="FF000000"/>
            <rFont val="Tahoma"/>
            <family val="2"/>
          </rPr>
          <t xml:space="preserve">Low Warning  AA006:  Metric difference from prior year &gt;= 20% </t>
        </r>
      </text>
    </comment>
    <comment ref="K343" authorId="1" shapeId="0" xr:uid="{B19DB5A4-A28C-4E3E-86BD-261FE5C6D647}">
      <text>
        <r>
          <rPr>
            <sz val="8"/>
            <color rgb="FF000000"/>
            <rFont val="Tahoma"/>
            <family val="2"/>
          </rPr>
          <t xml:space="preserve">Low Warning  AA006:  Metric difference from prior year &gt;= 20% </t>
        </r>
      </text>
    </comment>
    <comment ref="P343" authorId="1" shapeId="0" xr:uid="{A02A3F1D-8BE1-4DA7-A784-77E4B92D0E51}">
      <text>
        <r>
          <rPr>
            <sz val="8"/>
            <color rgb="FF000000"/>
            <rFont val="Tahoma"/>
            <family val="2"/>
          </rPr>
          <t>Moderate Warning  AA008:  Large Metric difference from prior year &gt;= 50%</t>
        </r>
      </text>
    </comment>
    <comment ref="AD343" authorId="1" shapeId="0" xr:uid="{9AAD22EF-7B8D-4AC9-B6D6-CCF4BB80E52F}">
      <text>
        <r>
          <rPr>
            <sz val="8"/>
            <color rgb="FF000000"/>
            <rFont val="Tahoma"/>
            <family val="2"/>
          </rPr>
          <t xml:space="preserve">Low Warning  AA006:  Metric difference from prior year &gt;= 20% </t>
        </r>
      </text>
    </comment>
    <comment ref="K345" authorId="1" shapeId="0" xr:uid="{ED445E48-5FEF-4C20-A6F9-FF09B92599F9}">
      <text>
        <r>
          <rPr>
            <sz val="8"/>
            <color rgb="FF000000"/>
            <rFont val="Tahoma"/>
            <family val="2"/>
          </rPr>
          <t>Moderate Warning  AA008:  Large Metric difference from prior year &gt;= 50%</t>
        </r>
      </text>
    </comment>
    <comment ref="P345" authorId="1" shapeId="0" xr:uid="{843ABDD5-541F-44A8-B40E-B43FB34D8E52}">
      <text>
        <r>
          <rPr>
            <sz val="8"/>
            <color rgb="FF000000"/>
            <rFont val="Tahoma"/>
            <family val="2"/>
          </rPr>
          <t xml:space="preserve">Low Warning  AA006:  Metric difference from prior year &gt;= 20% </t>
        </r>
      </text>
    </comment>
    <comment ref="Y345" authorId="1" shapeId="0" xr:uid="{F810C638-2CEF-4A75-8F61-9DD3162A17D3}">
      <text>
        <r>
          <rPr>
            <sz val="8"/>
            <color rgb="FF000000"/>
            <rFont val="Tahoma"/>
            <family val="2"/>
          </rPr>
          <t xml:space="preserve">Low Warning  AA006:  Metric difference from prior year &gt;= 20% </t>
        </r>
      </text>
    </comment>
    <comment ref="AC345" authorId="1" shapeId="0" xr:uid="{A34340B8-1BC6-456E-8188-89CB155EAE77}">
      <text>
        <r>
          <rPr>
            <sz val="8"/>
            <color rgb="FF000000"/>
            <rFont val="Tahoma"/>
            <family val="2"/>
          </rPr>
          <t xml:space="preserve">Low Warning  AA006:  Metric difference from prior year &gt;= 20% </t>
        </r>
      </text>
    </comment>
    <comment ref="AD345" authorId="1" shapeId="0" xr:uid="{69B87817-25D6-4C90-B854-77C0B456EAAF}">
      <text>
        <r>
          <rPr>
            <sz val="8"/>
            <color rgb="FF000000"/>
            <rFont val="Tahoma"/>
            <family val="2"/>
          </rPr>
          <t xml:space="preserve">Low Warning  AA006:  Metric difference from prior year &gt;= 20% </t>
        </r>
      </text>
    </comment>
    <comment ref="P346" authorId="1" shapeId="0" xr:uid="{3588E79D-327C-464D-A814-FE66193ECEF9}">
      <text>
        <r>
          <rPr>
            <sz val="8"/>
            <color rgb="FF000000"/>
            <rFont val="Tahoma"/>
            <family val="2"/>
          </rPr>
          <t>Moderate Warning  AA008:  Large Metric difference from prior year &gt;= 50%</t>
        </r>
      </text>
    </comment>
    <comment ref="Q346" authorId="1" shapeId="0" xr:uid="{429D0D89-24B5-4B7B-AFB2-5377D13B2B11}">
      <text>
        <r>
          <rPr>
            <sz val="8"/>
            <color rgb="FF000000"/>
            <rFont val="Tahoma"/>
            <family val="2"/>
          </rPr>
          <t xml:space="preserve">Low Warning  AA006:  Metric difference from prior year &gt;= 20% </t>
        </r>
      </text>
    </comment>
    <comment ref="W346" authorId="1" shapeId="0" xr:uid="{7DB0D36D-F127-4CB4-84F7-7FE283F677B4}">
      <text>
        <r>
          <rPr>
            <sz val="8"/>
            <color rgb="FF000000"/>
            <rFont val="Tahoma"/>
            <family val="2"/>
          </rPr>
          <t>Moderate Warning  AA008:  Large Metric difference from prior year &gt;= 50%</t>
        </r>
      </text>
    </comment>
    <comment ref="AD347" authorId="1" shapeId="0" xr:uid="{CE5EC61C-18BA-4922-BA55-ABEFA09B35AA}">
      <text>
        <r>
          <rPr>
            <sz val="8"/>
            <color rgb="FF000000"/>
            <rFont val="Tahoma"/>
            <family val="2"/>
          </rPr>
          <t>Moderate Warning  AA008:  Large Metric difference from prior year &gt;= 50%</t>
        </r>
      </text>
    </comment>
    <comment ref="AD348" authorId="1" shapeId="0" xr:uid="{64B50091-1FA4-4D55-AA08-324EBD5A0960}">
      <text>
        <r>
          <rPr>
            <sz val="8"/>
            <color rgb="FF000000"/>
            <rFont val="Tahoma"/>
            <family val="2"/>
          </rPr>
          <t xml:space="preserve">Low Warning  AA006:  Metric difference from prior year &gt;= 20% </t>
        </r>
      </text>
    </comment>
    <comment ref="K349" authorId="1" shapeId="0" xr:uid="{51882875-6B6E-425F-8621-3ECC77DFFAA5}">
      <text>
        <r>
          <rPr>
            <sz val="8"/>
            <color rgb="FF000000"/>
            <rFont val="Tahoma"/>
            <family val="2"/>
          </rPr>
          <t xml:space="preserve">Low Warning  AA006:  Metric difference from prior year &gt;= 20% </t>
        </r>
      </text>
    </comment>
    <comment ref="P349" authorId="1" shapeId="0" xr:uid="{DCB74B81-40DC-4413-9EFB-E3DCACE0519C}">
      <text>
        <r>
          <rPr>
            <sz val="8"/>
            <color rgb="FF000000"/>
            <rFont val="Tahoma"/>
            <family val="2"/>
          </rPr>
          <t>Moderate Warning  AA008:  Large Metric difference from prior year &gt;= 50%</t>
        </r>
      </text>
    </comment>
    <comment ref="W349" authorId="1" shapeId="0" xr:uid="{BCA6DD85-4F14-4114-88C8-3D34D672CC8C}">
      <text>
        <r>
          <rPr>
            <sz val="8"/>
            <color rgb="FF000000"/>
            <rFont val="Tahoma"/>
            <family val="2"/>
          </rPr>
          <t xml:space="preserve">Low Warning  AA006:  Metric difference from prior year &gt;= 20% </t>
        </r>
      </text>
    </comment>
    <comment ref="Y349" authorId="1" shapeId="0" xr:uid="{1FC99B5A-CB43-4554-9AD5-D48912B61CF7}">
      <text>
        <r>
          <rPr>
            <sz val="8"/>
            <color rgb="FF000000"/>
            <rFont val="Tahoma"/>
            <family val="2"/>
          </rPr>
          <t xml:space="preserve">Severe Warning  AA009:  Substantial Metric difference from prior year &gt;=100% </t>
        </r>
      </text>
    </comment>
    <comment ref="AD349" authorId="1" shapeId="0" xr:uid="{72B297C6-15E2-46A0-A477-E1056144735E}">
      <text>
        <r>
          <rPr>
            <sz val="8"/>
            <color rgb="FF000000"/>
            <rFont val="Tahoma"/>
            <family val="2"/>
          </rPr>
          <t>Moderate Warning  AA008:  Large Metric difference from prior year &gt;= 50%</t>
        </r>
      </text>
    </comment>
    <comment ref="K351" authorId="1" shapeId="0" xr:uid="{D8F03211-9753-4B68-AB10-FBEAEABE1B58}">
      <text>
        <r>
          <rPr>
            <sz val="8"/>
            <color rgb="FF000000"/>
            <rFont val="Tahoma"/>
            <family val="2"/>
          </rPr>
          <t xml:space="preserve">Severe Warning  AA009:  Substantial Metric difference from prior year &gt;=100% </t>
        </r>
      </text>
    </comment>
    <comment ref="Y351" authorId="1" shapeId="0" xr:uid="{CCCB162A-278B-4F9E-B5EE-3741B85D4BC4}">
      <text>
        <r>
          <rPr>
            <sz val="8"/>
            <color rgb="FF000000"/>
            <rFont val="Tahoma"/>
            <family val="2"/>
          </rPr>
          <t xml:space="preserve">Severe Warning  AA009:  Substantial Metric difference from prior year &gt;=100% </t>
        </r>
      </text>
    </comment>
    <comment ref="K354" authorId="1" shapeId="0" xr:uid="{E3114938-CE3D-4EBE-BA19-9CBD21FC2A6F}">
      <text>
        <r>
          <rPr>
            <sz val="8"/>
            <color rgb="FF000000"/>
            <rFont val="Tahoma"/>
            <family val="2"/>
          </rPr>
          <t>Moderate Warning  AA008:  Large Metric difference from prior year &gt;= 50%</t>
        </r>
      </text>
    </comment>
    <comment ref="P354" authorId="1" shapeId="0" xr:uid="{B42A248A-DE16-45D9-A60E-1027A59DE2EC}">
      <text>
        <r>
          <rPr>
            <sz val="8"/>
            <color rgb="FF000000"/>
            <rFont val="Tahoma"/>
            <family val="2"/>
          </rPr>
          <t xml:space="preserve">Severe Warning  AA009:  Substantial Metric difference from prior year &gt;=100% </t>
        </r>
      </text>
    </comment>
    <comment ref="Q354" authorId="1" shapeId="0" xr:uid="{ECDFFABC-2100-43DF-A2C5-1A6DE3386C96}">
      <text>
        <r>
          <rPr>
            <sz val="8"/>
            <color rgb="FF000000"/>
            <rFont val="Tahoma"/>
            <family val="2"/>
          </rPr>
          <t xml:space="preserve">Severe Warning  AA009:  Substantial Metric difference from prior year &gt;=100% </t>
        </r>
      </text>
    </comment>
    <comment ref="K357" authorId="1" shapeId="0" xr:uid="{1A3EE74F-254E-4D1C-A588-12E9306E7419}">
      <text>
        <r>
          <rPr>
            <sz val="8"/>
            <color rgb="FF000000"/>
            <rFont val="Tahoma"/>
            <family val="2"/>
          </rPr>
          <t xml:space="preserve">Low Warning  AA006:  Metric difference from prior year &gt;= 20% </t>
        </r>
      </text>
    </comment>
    <comment ref="Q357" authorId="1" shapeId="0" xr:uid="{8FB40C9F-0ECF-44EE-B0C3-70F81D416F6F}">
      <text>
        <r>
          <rPr>
            <sz val="8"/>
            <color rgb="FF000000"/>
            <rFont val="Tahoma"/>
            <family val="2"/>
          </rPr>
          <t>Moderate Warning  AA008:  Large Metric difference from prior year &gt;= 50%</t>
        </r>
      </text>
    </comment>
    <comment ref="Q358" authorId="1" shapeId="0" xr:uid="{9AA8FD7B-9EBD-4F15-8F08-DECFEA46EDCA}">
      <text>
        <r>
          <rPr>
            <sz val="8"/>
            <color rgb="FF000000"/>
            <rFont val="Tahoma"/>
            <family val="2"/>
          </rPr>
          <t xml:space="preserve">Severe Warning  AA009:  Substantial Metric difference from prior year &gt;=100% </t>
        </r>
      </text>
    </comment>
    <comment ref="K359" authorId="1" shapeId="0" xr:uid="{35A902E7-6262-4847-B7D0-4AEC2C3185D5}">
      <text>
        <r>
          <rPr>
            <sz val="8"/>
            <color rgb="FF000000"/>
            <rFont val="Tahoma"/>
            <family val="2"/>
          </rPr>
          <t>Moderate Warning  AA008:  Large Metric difference from prior year &gt;= 50%</t>
        </r>
      </text>
    </comment>
    <comment ref="P360" authorId="1" shapeId="0" xr:uid="{F7C15310-801F-48F7-802B-F1815106AAFA}">
      <text>
        <r>
          <rPr>
            <sz val="8"/>
            <color rgb="FF000000"/>
            <rFont val="Tahoma"/>
            <family val="2"/>
          </rPr>
          <t xml:space="preserve">Low Warning  AA006:  Metric difference from prior year &gt;= 20% </t>
        </r>
      </text>
    </comment>
    <comment ref="Q360" authorId="1" shapeId="0" xr:uid="{EF070780-AEE1-49B4-BBD5-13E6B9EE9F9E}">
      <text>
        <r>
          <rPr>
            <sz val="8"/>
            <color rgb="FF000000"/>
            <rFont val="Tahoma"/>
            <family val="2"/>
          </rPr>
          <t>Moderate Warning  AA008:  Large Metric difference from prior year &gt;= 50%</t>
        </r>
      </text>
    </comment>
    <comment ref="I362" authorId="1" shapeId="0" xr:uid="{0D963450-92BA-4F35-BAC2-3373C62C36BE}">
      <text>
        <r>
          <rPr>
            <sz val="8"/>
            <color rgb="FF000000"/>
            <rFont val="Tahoma"/>
            <family val="2"/>
          </rPr>
          <t xml:space="preserve">Low Warning  AA006:  Metric difference from prior year &gt;= 20% </t>
        </r>
      </text>
    </comment>
    <comment ref="K363" authorId="1" shapeId="0" xr:uid="{2310F7D0-2C24-4CD8-8EFC-1C2B2834812C}">
      <text>
        <r>
          <rPr>
            <sz val="8"/>
            <color rgb="FF000000"/>
            <rFont val="Tahoma"/>
            <family val="2"/>
          </rPr>
          <t xml:space="preserve">Low Warning  AA006:  Metric difference from prior year &gt;= 20% </t>
        </r>
      </text>
    </comment>
    <comment ref="I364" authorId="1" shapeId="0" xr:uid="{AF61063C-D15C-45A6-8EA3-A9BC7ABE6AAA}">
      <text>
        <r>
          <rPr>
            <sz val="8"/>
            <color rgb="FF000000"/>
            <rFont val="Tahoma"/>
            <family val="2"/>
          </rPr>
          <t xml:space="preserve">Low Warning  AA006:  Metric difference from prior year &gt;= 20% </t>
        </r>
      </text>
    </comment>
    <comment ref="K364" authorId="1" shapeId="0" xr:uid="{C7A32828-AF12-4812-B491-40337BB7722D}">
      <text>
        <r>
          <rPr>
            <sz val="8"/>
            <color rgb="FF000000"/>
            <rFont val="Tahoma"/>
            <family val="2"/>
          </rPr>
          <t xml:space="preserve">Low Warning  AA006:  Metric difference from prior year &gt;= 20% </t>
        </r>
      </text>
    </comment>
    <comment ref="Q364" authorId="1" shapeId="0" xr:uid="{BA4D6A16-190F-4B78-92C1-6343C89984B5}">
      <text>
        <r>
          <rPr>
            <sz val="8"/>
            <color rgb="FF000000"/>
            <rFont val="Tahoma"/>
            <family val="2"/>
          </rPr>
          <t xml:space="preserve">Severe Warning  AA009:  Substantial Metric difference from prior year &gt;=100% </t>
        </r>
      </text>
    </comment>
    <comment ref="P365" authorId="1" shapeId="0" xr:uid="{74B07FCA-CE14-4B3C-AA9D-13413CB83730}">
      <text>
        <r>
          <rPr>
            <sz val="8"/>
            <color rgb="FF000000"/>
            <rFont val="Tahoma"/>
            <family val="2"/>
          </rPr>
          <t>Moderate Warning  AA008:  Large Metric difference from prior year &gt;= 50%</t>
        </r>
      </text>
    </comment>
    <comment ref="K366" authorId="1" shapeId="0" xr:uid="{3827E087-0FF6-453F-9684-E1C471A1C8D3}">
      <text>
        <r>
          <rPr>
            <sz val="8"/>
            <color rgb="FF000000"/>
            <rFont val="Tahoma"/>
            <family val="2"/>
          </rPr>
          <t xml:space="preserve">Low Warning  AA006:  Metric difference from prior year &gt;= 20% </t>
        </r>
      </text>
    </comment>
    <comment ref="P367" authorId="1" shapeId="0" xr:uid="{C6B29899-34C4-40B2-97C3-2E0BBC4C610C}">
      <text>
        <r>
          <rPr>
            <sz val="8"/>
            <color rgb="FF000000"/>
            <rFont val="Tahoma"/>
            <family val="2"/>
          </rPr>
          <t xml:space="preserve">Low Warning  AA006:  Metric difference from prior year &gt;= 20%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ype10ug5" type="6" refreshedVersion="3" background="1" saveData="1">
    <textPr codePage="437" sourceFile="\\THECB-AUVFS41\UserDoc$\MeadDD\My Documents\My SAS Files\SREB\QWK03864\Page5\Type10ug5.txt">
      <textFields>
        <textField/>
      </textFields>
    </textPr>
  </connection>
  <connection id="2" xr16:uid="{00000000-0015-0000-FFFF-FFFF01000000}" name="Type11gr1" type="6" refreshedVersion="4" background="1" saveData="1">
    <textPr codePage="437" sourceFile="\\THECB-AUVFS41\UserDoc$\MeadDD\My Documents\My SAS Files\SREB\QWK04245\Page5\Type11gr1.txt">
      <textFields>
        <textField/>
      </textFields>
    </textPr>
  </connection>
  <connection id="3" xr16:uid="{00000000-0015-0000-FFFF-FFFF02000000}" name="Type11gr2" type="6" refreshedVersion="4" background="1" saveData="1">
    <textPr codePage="437" sourceFile="\\THECB-AUVFS41\UserDoc$\MeadDD\My Documents\My SAS Files\SREB\QWK04245\Page5\Type11gr2.txt">
      <textFields>
        <textField/>
      </textFields>
    </textPr>
  </connection>
  <connection id="4" xr16:uid="{00000000-0015-0000-FFFF-FFFF03000000}" name="Type11gr3" type="6" refreshedVersion="4" background="1" saveData="1">
    <textPr codePage="437" sourceFile="\\THECB-AUVFS41\UserDoc$\MeadDD\My Documents\My SAS Files\SREB\QWK04245\Page5\Type11gr3.txt">
      <textFields>
        <textField/>
      </textFields>
    </textPr>
  </connection>
  <connection id="5" xr16:uid="{00000000-0015-0000-FFFF-FFFF04000000}" name="Type11gr4" type="6" refreshedVersion="4" background="1" saveData="1">
    <textPr codePage="437" sourceFile="\\THECB-AUVFS41\UserDoc$\MeadDD\My Documents\My SAS Files\SREB\QWK04245\Page5\Type11gr4.txt">
      <textFields>
        <textField/>
      </textFields>
    </textPr>
  </connection>
  <connection id="6" xr16:uid="{00000000-0015-0000-FFFF-FFFF05000000}" name="Type11gr5" type="6" refreshedVersion="4" background="1" saveData="1">
    <textPr codePage="437" sourceFile="\\THECB-AUVFS41\UserDoc$\MeadDD\My Documents\My SAS Files\SREB\QWK04245\Page5\Type11gr5.txt">
      <textFields>
        <textField/>
      </textFields>
    </textPr>
  </connection>
  <connection id="7" xr16:uid="{00000000-0015-0000-FFFF-FFFF06000000}" name="Type11ug1" type="6" refreshedVersion="4" background="1" saveData="1">
    <textPr codePage="437" sourceFile="\\THECB-AUVFS41\UserDoc$\MeadDD\My Documents\My SAS Files\SREB\QWK04245\Page5\Type11ug1.txt">
      <textFields>
        <textField/>
      </textFields>
    </textPr>
  </connection>
  <connection id="8" xr16:uid="{00000000-0015-0000-FFFF-FFFF07000000}" name="Type11ug2" type="6" refreshedVersion="4" background="1" saveData="1">
    <textPr codePage="437" sourceFile="\\THECB-AUVFS41\UserDoc$\MeadDD\My Documents\My SAS Files\SREB\QWK04245\Page5\Type11ug2.txt">
      <textFields>
        <textField/>
      </textFields>
    </textPr>
  </connection>
  <connection id="9" xr16:uid="{00000000-0015-0000-FFFF-FFFF08000000}" name="Type11ug3" type="6" refreshedVersion="4" background="1" saveData="1">
    <textPr codePage="437" sourceFile="\\THECB-AUVFS41\UserDoc$\MeadDD\My Documents\My SAS Files\SREB\QWK04245\Page5\Type11ug3.txt">
      <textFields>
        <textField/>
      </textFields>
    </textPr>
  </connection>
  <connection id="10" xr16:uid="{00000000-0015-0000-FFFF-FFFF09000000}" name="Type11ug4" type="6" refreshedVersion="4" background="1" saveData="1">
    <textPr codePage="437" sourceFile="\\THECB-AUVFS41\UserDoc$\MeadDD\My Documents\My SAS Files\SREB\QWK04245\Page5\Type11ug4.txt">
      <textFields>
        <textField/>
      </textFields>
    </textPr>
  </connection>
  <connection id="11" xr16:uid="{00000000-0015-0000-FFFF-FFFF0A000000}" name="Type11ug5" type="6" refreshedVersion="4" background="1" saveData="1">
    <textPr codePage="437" sourceFile="\\THECB-AUVFS41\UserDoc$\MeadDD\My Documents\My SAS Files\SREB\QWK04245\Page5\Type11ug5.txt">
      <textFields>
        <textField/>
      </textFields>
    </textPr>
  </connection>
  <connection id="12" xr16:uid="{00000000-0015-0000-FFFF-FFFF0B000000}" name="Type13gr11" type="6" refreshedVersion="5" background="1" saveData="1">
    <textPr codePage="437" sourceFile="Z:\Mead\SASdocs\SREB\QWK04869\Page5\Type13gr1.txt">
      <textFields>
        <textField/>
      </textFields>
    </textPr>
  </connection>
  <connection id="13" xr16:uid="{DC4BD939-60DF-4A7A-BBE8-794863BDDDDB}" name="Type13gr111" type="6" refreshedVersion="5" background="1" saveData="1">
    <textPr codePage="437" sourceFile="Z:\Mead\SASdocs\SREB\QWK04869\Page5\Type13gr1.txt">
      <textFields>
        <textField/>
      </textFields>
    </textPr>
  </connection>
  <connection id="14" xr16:uid="{46599029-B8A8-4698-8284-11612BC71329}" name="Type13gr112" type="6" refreshedVersion="5" background="1" saveData="1">
    <textPr codePage="437" sourceFile="Z:\Mead\SASdocs\SREB\QWK04869\Page5\Type13gr1.txt">
      <textFields>
        <textField/>
      </textFields>
    </textPr>
  </connection>
  <connection id="15" xr16:uid="{00000000-0015-0000-FFFF-FFFF0C000000}" name="Type13gr21" type="6" refreshedVersion="5" background="1" saveData="1">
    <textPr codePage="437" sourceFile="Z:\Mead\SASdocs\SREB\QWK04869\Page5\Type13gr2.txt">
      <textFields>
        <textField/>
      </textFields>
    </textPr>
  </connection>
  <connection id="16" xr16:uid="{9D9D3E2E-C5C7-4F48-BBC2-FC341B2AF4C5}" name="Type13gr211" type="6" refreshedVersion="5" background="1" saveData="1">
    <textPr codePage="437" sourceFile="Z:\Mead\SASdocs\SREB\QWK04869\Page5\Type13gr2.txt">
      <textFields>
        <textField/>
      </textFields>
    </textPr>
  </connection>
  <connection id="17" xr16:uid="{D143005A-958A-4828-B84E-14AE870AC40F}" name="Type13gr212" type="6" refreshedVersion="5" background="1" saveData="1">
    <textPr codePage="437" sourceFile="Z:\Mead\SASdocs\SREB\QWK04869\Page5\Type13gr2.txt">
      <textFields>
        <textField/>
      </textFields>
    </textPr>
  </connection>
  <connection id="18" xr16:uid="{00000000-0015-0000-FFFF-FFFF0D000000}" name="Type13gr31" type="6" refreshedVersion="5" background="1" saveData="1">
    <textPr codePage="437" sourceFile="Z:\Mead\SASdocs\SREB\QWK04869\Page5\Type13gr3.txt">
      <textFields>
        <textField/>
      </textFields>
    </textPr>
  </connection>
  <connection id="19" xr16:uid="{1748F162-46CB-4EB6-BC10-9D6303C81F27}" name="Type13gr311" type="6" refreshedVersion="5" background="1" saveData="1">
    <textPr codePage="437" sourceFile="Z:\Mead\SASdocs\SREB\QWK04869\Page5\Type13gr3.txt">
      <textFields>
        <textField/>
      </textFields>
    </textPr>
  </connection>
  <connection id="20" xr16:uid="{A8324EAA-9AF8-4B6E-BF61-5777666AE7DE}" name="Type13gr312" type="6" refreshedVersion="5" background="1" saveData="1">
    <textPr codePage="437" sourceFile="Z:\Mead\SASdocs\SREB\QWK04869\Page5\Type13gr3.txt">
      <textFields>
        <textField/>
      </textFields>
    </textPr>
  </connection>
  <connection id="21" xr16:uid="{00000000-0015-0000-FFFF-FFFF0E000000}" name="Type13gr41" type="6" refreshedVersion="5" background="1" saveData="1">
    <textPr codePage="437" sourceFile="Z:\Mead\SASdocs\SREB\QWK04869\Page5\Type13gr4.txt">
      <textFields>
        <textField/>
      </textFields>
    </textPr>
  </connection>
  <connection id="22" xr16:uid="{E9187DE1-9414-4270-9469-BBA85A535E23}" name="Type13gr411" type="6" refreshedVersion="5" background="1" saveData="1">
    <textPr codePage="437" sourceFile="Z:\Mead\SASdocs\SREB\QWK04869\Page5\Type13gr4.txt">
      <textFields>
        <textField/>
      </textFields>
    </textPr>
  </connection>
  <connection id="23" xr16:uid="{89819076-8C6A-432E-97BB-F0E67A4F1A09}" name="Type13gr412" type="6" refreshedVersion="5" background="1" saveData="1">
    <textPr codePage="437" sourceFile="Z:\Mead\SASdocs\SREB\QWK04869\Page5\Type13gr4.txt">
      <textFields>
        <textField/>
      </textFields>
    </textPr>
  </connection>
  <connection id="24" xr16:uid="{00000000-0015-0000-FFFF-FFFF0F000000}" name="Type13gr51" type="6" refreshedVersion="5" background="1" saveData="1">
    <textPr codePage="437" sourceFile="Z:\Mead\SASdocs\SREB\QWK04869\Page5\Type13gr5.txt">
      <textFields>
        <textField/>
      </textFields>
    </textPr>
  </connection>
  <connection id="25" xr16:uid="{1BCAE447-AD36-4E84-AFAC-B0D0B8A2D05E}" name="Type13gr511" type="6" refreshedVersion="5" background="1" saveData="1">
    <textPr codePage="437" sourceFile="Z:\Mead\SASdocs\SREB\QWK04869\Page5\Type13gr5.txt">
      <textFields>
        <textField/>
      </textFields>
    </textPr>
  </connection>
  <connection id="26" xr16:uid="{BC63B5A0-03DE-476E-BE67-B074564647E7}" name="Type13gr512" type="6" refreshedVersion="5" background="1" saveData="1">
    <textPr codePage="437" sourceFile="Z:\Mead\SASdocs\SREB\QWK04869\Page5\Type13gr5.txt">
      <textFields>
        <textField/>
      </textFields>
    </textPr>
  </connection>
  <connection id="27" xr16:uid="{00000000-0015-0000-FFFF-FFFF10000000}" name="Type13ug11" type="6" refreshedVersion="5" background="1" saveData="1">
    <textPr codePage="437" sourceFile="Z:\Mead\SASdocs\SREB\QWK04869\Page5\Type13ug1.txt">
      <textFields>
        <textField/>
      </textFields>
    </textPr>
  </connection>
  <connection id="28" xr16:uid="{6A8FFFFF-E1B0-42DF-8D5C-28DD2B18E94C}" name="Type13ug111" type="6" refreshedVersion="5" background="1" saveData="1">
    <textPr codePage="437" sourceFile="Z:\Mead\SASdocs\SREB\QWK04869\Page5\Type13ug1.txt">
      <textFields>
        <textField/>
      </textFields>
    </textPr>
  </connection>
  <connection id="29" xr16:uid="{B8502FA5-B2CE-49F7-85FE-7870E6BF1866}" name="Type13ug112" type="6" refreshedVersion="5" background="1" saveData="1">
    <textPr codePage="437" sourceFile="Z:\Mead\SASdocs\SREB\QWK04869\Page5\Type13ug1.txt">
      <textFields>
        <textField/>
      </textFields>
    </textPr>
  </connection>
  <connection id="30" xr16:uid="{00000000-0015-0000-FFFF-FFFF11000000}" name="Type13ug21" type="6" refreshedVersion="5" background="1" saveData="1">
    <textPr codePage="437" sourceFile="Z:\Mead\SASdocs\SREB\QWK04869\Page5\Type13ug2.txt">
      <textFields>
        <textField/>
      </textFields>
    </textPr>
  </connection>
  <connection id="31" xr16:uid="{EC626C72-64FB-402E-9D16-E66C74B6538A}" name="Type13ug211" type="6" refreshedVersion="5" background="1" saveData="1">
    <textPr codePage="437" sourceFile="Z:\Mead\SASdocs\SREB\QWK04869\Page5\Type13ug2.txt">
      <textFields>
        <textField/>
      </textFields>
    </textPr>
  </connection>
  <connection id="32" xr16:uid="{593D2F52-127A-4BB7-BD78-29ABAAE1AB00}" name="Type13ug212" type="6" refreshedVersion="5" background="1" saveData="1">
    <textPr codePage="437" sourceFile="Z:\Mead\SASdocs\SREB\QWK04869\Page5\Type13ug2.txt">
      <textFields>
        <textField/>
      </textFields>
    </textPr>
  </connection>
  <connection id="33" xr16:uid="{00000000-0015-0000-FFFF-FFFF12000000}" name="Type13ug31" type="6" refreshedVersion="5" background="1" saveData="1">
    <textPr codePage="437" sourceFile="Z:\Mead\SASdocs\SREB\QWK04869\Page5\Type13ug3.txt">
      <textFields>
        <textField/>
      </textFields>
    </textPr>
  </connection>
  <connection id="34" xr16:uid="{E2C49DAE-57F5-4676-9A48-176E33A9DE9C}" name="Type13ug311" type="6" refreshedVersion="5" background="1" saveData="1">
    <textPr codePage="437" sourceFile="Z:\Mead\SASdocs\SREB\QWK04869\Page5\Type13ug3.txt">
      <textFields>
        <textField/>
      </textFields>
    </textPr>
  </connection>
  <connection id="35" xr16:uid="{5924B6CF-1DF6-4990-95CF-3953878055BF}" name="Type13ug312" type="6" refreshedVersion="5" background="1" saveData="1">
    <textPr codePage="437" sourceFile="Z:\Mead\SASdocs\SREB\QWK04869\Page5\Type13ug3.txt">
      <textFields>
        <textField/>
      </textFields>
    </textPr>
  </connection>
  <connection id="36" xr16:uid="{00000000-0015-0000-FFFF-FFFF13000000}" name="Type13ug41" type="6" refreshedVersion="5" background="1" saveData="1">
    <textPr codePage="437" sourceFile="Z:\Mead\SASdocs\SREB\QWK04869\Page5\Type13ug4.txt">
      <textFields>
        <textField/>
      </textFields>
    </textPr>
  </connection>
  <connection id="37" xr16:uid="{B17F5B95-7E9C-4563-96E3-C684DD7B091E}" name="Type13ug411" type="6" refreshedVersion="5" background="1" saveData="1">
    <textPr codePage="437" sourceFile="Z:\Mead\SASdocs\SREB\QWK04869\Page5\Type13ug4.txt">
      <textFields>
        <textField/>
      </textFields>
    </textPr>
  </connection>
  <connection id="38" xr16:uid="{C0C5EFE6-4549-409F-835A-59F85A68B100}" name="Type13ug412" type="6" refreshedVersion="5" background="1" saveData="1">
    <textPr codePage="437" sourceFile="Z:\Mead\SASdocs\SREB\QWK04869\Page5\Type13ug4.txt">
      <textFields>
        <textField/>
      </textFields>
    </textPr>
  </connection>
  <connection id="39" xr16:uid="{00000000-0015-0000-FFFF-FFFF14000000}" name="Type13ug51" type="6" refreshedVersion="5" background="1" saveData="1">
    <textPr codePage="437" sourceFile="Z:\Mead\SASdocs\SREB\QWK04869\Page5\Type13ug5.txt">
      <textFields>
        <textField/>
      </textFields>
    </textPr>
  </connection>
  <connection id="40" xr16:uid="{D4108E0D-D531-4C26-8926-122C60F4ACCD}" name="Type13ug511" type="6" refreshedVersion="5" background="1" saveData="1">
    <textPr codePage="437" sourceFile="Z:\Mead\SASdocs\SREB\QWK04869\Page5\Type13ug5.txt">
      <textFields>
        <textField/>
      </textFields>
    </textPr>
  </connection>
  <connection id="41" xr16:uid="{A8F88537-00E8-4635-B220-35A65ECAEF1A}" name="Type13ug512" type="6" refreshedVersion="5" background="1" saveData="1">
    <textPr codePage="437" sourceFile="Z:\Mead\SASdocs\SREB\QWK04869\Page5\Type13ug5.txt">
      <textFields>
        <textField/>
      </textFields>
    </textPr>
  </connection>
</connections>
</file>

<file path=xl/sharedStrings.xml><?xml version="1.0" encoding="utf-8"?>
<sst xmlns="http://schemas.openxmlformats.org/spreadsheetml/2006/main" count="3737" uniqueCount="845">
  <si>
    <r>
      <rPr>
        <b/>
        <sz val="14"/>
        <color theme="0"/>
        <rFont val="Arial"/>
        <family val="2"/>
      </rPr>
      <t>Part 5: Credit</t>
    </r>
    <r>
      <rPr>
        <b/>
        <sz val="14"/>
        <color rgb="FFFF0000"/>
        <rFont val="Arial"/>
        <family val="2"/>
      </rPr>
      <t xml:space="preserve"> </t>
    </r>
    <r>
      <rPr>
        <b/>
        <sz val="14"/>
        <color theme="0"/>
        <rFont val="Arial"/>
        <family val="2"/>
      </rPr>
      <t>Hours by Mode of Instruction</t>
    </r>
  </si>
  <si>
    <t>Undergraduate Credit Hours</t>
  </si>
  <si>
    <t>Graduate Credit Hours</t>
  </si>
  <si>
    <t>Calculated</t>
  </si>
  <si>
    <t>e-Learning (more than 50% of course content is electronically delivered)</t>
  </si>
  <si>
    <t>Comments:  Please look for comments and answer questions; add comments as needed</t>
  </si>
  <si>
    <r>
      <rPr>
        <b/>
        <sz val="10"/>
        <color rgb="FF000000"/>
        <rFont val="Arial"/>
        <family val="2"/>
      </rPr>
      <t xml:space="preserve">On-Campus "Traditional" Instruction
 </t>
    </r>
    <r>
      <rPr>
        <sz val="10"/>
        <color rgb="FF000000"/>
        <rFont val="Arial"/>
        <family val="2"/>
      </rPr>
      <t>(significant site attendance required--50% or less of course content is electronically delivered)</t>
    </r>
  </si>
  <si>
    <r>
      <rPr>
        <b/>
        <sz val="10"/>
        <color rgb="FF000000"/>
        <rFont val="Arial"/>
        <family val="2"/>
      </rPr>
      <t xml:space="preserve">Off-Campus
(in-state or out-of-state sites) "Traditional" Instruction 
</t>
    </r>
    <r>
      <rPr>
        <sz val="10"/>
        <color rgb="FF000000"/>
        <rFont val="Arial"/>
        <family val="2"/>
      </rPr>
      <t>(significant site attendance required--50% or less of course content is electronically delivered)</t>
    </r>
  </si>
  <si>
    <t>Web</t>
  </si>
  <si>
    <r>
      <rPr>
        <b/>
        <sz val="10"/>
        <color rgb="FF000000"/>
        <rFont val="Arial"/>
        <family val="2"/>
      </rPr>
      <t xml:space="preserve">Site-to-Site, 2-Way, Audio/Video </t>
    </r>
    <r>
      <rPr>
        <sz val="10"/>
        <color rgb="FF000000"/>
        <rFont val="Arial"/>
        <family val="2"/>
      </rPr>
      <t>(compressed video)</t>
    </r>
  </si>
  <si>
    <r>
      <rPr>
        <b/>
        <sz val="10"/>
        <color indexed="12"/>
        <rFont val="Arial"/>
        <family val="2"/>
      </rPr>
      <t xml:space="preserve">Other </t>
    </r>
    <r>
      <rPr>
        <sz val="10"/>
        <color indexed="12"/>
        <rFont val="Arial"/>
        <family val="2"/>
      </rPr>
      <t xml:space="preserve">(Satellite, Cable, Broadcast TV/Radio, Closed-Circuit, Video Tapes, CD ROM)             </t>
    </r>
  </si>
  <si>
    <r>
      <rPr>
        <b/>
        <sz val="10"/>
        <color indexed="12"/>
        <rFont val="Arial"/>
        <family val="2"/>
      </rPr>
      <t xml:space="preserve">Site-to-Site, 2-Way, Audio/Video </t>
    </r>
    <r>
      <rPr>
        <sz val="10"/>
        <color indexed="12"/>
        <rFont val="Arial"/>
        <family val="2"/>
      </rPr>
      <t>(compressed video)</t>
    </r>
  </si>
  <si>
    <r>
      <rPr>
        <b/>
        <sz val="10"/>
        <color indexed="12"/>
        <rFont val="Arial"/>
        <family val="2"/>
      </rPr>
      <t xml:space="preserve">Other
</t>
    </r>
    <r>
      <rPr>
        <sz val="10"/>
        <color indexed="12"/>
        <rFont val="Arial"/>
        <family val="2"/>
      </rPr>
      <t xml:space="preserve"> (Satellite, Cable, Broadcast TV/Radio, Closed-Circuit, Video Tapes, CD ROM)            </t>
    </r>
    <r>
      <rPr>
        <b/>
        <sz val="10"/>
        <color indexed="12"/>
        <rFont val="Arial"/>
        <family val="2"/>
      </rPr>
      <t xml:space="preserve"> </t>
    </r>
  </si>
  <si>
    <r>
      <rPr>
        <b/>
        <sz val="10"/>
        <color rgb="FF000000"/>
        <rFont val="Arial"/>
        <family val="2"/>
      </rPr>
      <t xml:space="preserve">Correspondence
</t>
    </r>
    <r>
      <rPr>
        <sz val="10"/>
        <color rgb="FF000000"/>
        <rFont val="Arial"/>
        <family val="2"/>
      </rPr>
      <t xml:space="preserve">(no significant site attendance required-less than 50% of the course content is electronically delivered)     </t>
    </r>
  </si>
  <si>
    <t>State</t>
  </si>
  <si>
    <t>Institution</t>
  </si>
  <si>
    <t>Classification Notes</t>
  </si>
  <si>
    <t>IPEDS #</t>
  </si>
  <si>
    <t>Category</t>
  </si>
  <si>
    <t>Note</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</si>
  <si>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</si>
  <si>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</si>
  <si>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</si>
  <si>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</si>
  <si>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</si>
  <si>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</si>
  <si>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</si>
  <si>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</si>
  <si>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</si>
  <si>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</si>
  <si>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</si>
  <si>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</si>
  <si>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</si>
  <si>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</si>
  <si>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</si>
  <si>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</si>
  <si>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</si>
  <si>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</si>
  <si>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</si>
  <si>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</si>
  <si>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</si>
  <si>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</si>
  <si>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</si>
  <si>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</si>
  <si>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</si>
  <si>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</si>
  <si>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</si>
  <si>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</si>
  <si>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</si>
  <si>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</si>
  <si>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</si>
  <si>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</si>
  <si>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</si>
  <si>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</si>
  <si>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</si>
  <si>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</si>
  <si>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</si>
  <si>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</si>
  <si>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</si>
  <si>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</si>
  <si>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</si>
  <si>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</si>
  <si>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</si>
  <si>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</si>
  <si>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</si>
  <si>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100812</t>
  </si>
  <si>
    <t>Jefferson State Community College</t>
  </si>
  <si>
    <t>Bevill State Community College</t>
  </si>
  <si>
    <t>Bishop State Community College</t>
  </si>
  <si>
    <t>Gadsden State Community College</t>
  </si>
  <si>
    <t xml:space="preserve">Lawson State Community College </t>
  </si>
  <si>
    <t>Northwest-Shoals Community College</t>
  </si>
  <si>
    <t>Shelton State Community College</t>
  </si>
  <si>
    <t>Southern Union State Community College</t>
  </si>
  <si>
    <t>Central Alabama Community College</t>
  </si>
  <si>
    <t>George Corley Wallace State Community College - Selma</t>
  </si>
  <si>
    <t xml:space="preserve">Lurleen B. Wallace Community College </t>
  </si>
  <si>
    <t xml:space="preserve">Snead State Community College </t>
  </si>
  <si>
    <t xml:space="preserve">J.F. Ingram State Technical College </t>
  </si>
  <si>
    <t xml:space="preserve">Reid State Technical College </t>
  </si>
  <si>
    <t>Marion Military Institute</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</si>
  <si>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</si>
  <si>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</si>
  <si>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</si>
  <si>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</si>
  <si>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</si>
  <si>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</si>
  <si>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</si>
  <si>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</si>
  <si>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</si>
  <si>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</si>
  <si>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</si>
  <si>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</si>
  <si>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</si>
  <si>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</si>
  <si>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</si>
  <si>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</si>
  <si>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</si>
  <si>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</si>
  <si>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</si>
  <si>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Cossatot Community College of the University of Arkansas</t>
  </si>
  <si>
    <t xml:space="preserve">East Arkansas Community College </t>
  </si>
  <si>
    <t>North Arkansas College</t>
  </si>
  <si>
    <t xml:space="preserve">Ozarka College </t>
  </si>
  <si>
    <t>Phillips Community College of the Univ of Arkansas</t>
  </si>
  <si>
    <t>South Arkansas Community College</t>
  </si>
  <si>
    <t>Southeast Arkansas College</t>
  </si>
  <si>
    <t>Southern Arkansas University Tech</t>
  </si>
  <si>
    <t>University of Arkansas Community College at Batesville</t>
  </si>
  <si>
    <t>University of Arkansas Community College at Morrilton</t>
  </si>
  <si>
    <t>University of Arkansas for Medical Sciences</t>
  </si>
  <si>
    <t>DE</t>
  </si>
  <si>
    <t>University of Delaware</t>
  </si>
  <si>
    <t>Delaware State University</t>
  </si>
  <si>
    <t>Delaware Technical and Community College--Terry</t>
  </si>
  <si>
    <t>FL</t>
  </si>
  <si>
    <t>Eastern Florida State College</t>
  </si>
  <si>
    <t xml:space="preserve">Broward College </t>
  </si>
  <si>
    <t>College of Central Florida</t>
  </si>
  <si>
    <t xml:space="preserve">Chipola College </t>
  </si>
  <si>
    <t xml:space="preserve">Daytona State College </t>
  </si>
  <si>
    <t>Florida SouthWestern State College</t>
  </si>
  <si>
    <t>Florida State College at Jacksonville</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</si>
  <si>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</si>
  <si>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</si>
  <si>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</si>
  <si>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</si>
  <si>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</si>
  <si>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</si>
  <si>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</si>
  <si>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Northwest Florida State College</t>
  </si>
  <si>
    <t xml:space="preserve">Palm Beach State College </t>
  </si>
  <si>
    <t xml:space="preserve">Pasco-Hernando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</si>
  <si>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</si>
  <si>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</si>
  <si>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</si>
  <si>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</si>
  <si>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</si>
  <si>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</si>
  <si>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</si>
  <si>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</si>
  <si>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</si>
  <si>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GA</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</si>
  <si>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</si>
  <si>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</si>
  <si>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</si>
  <si>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</si>
  <si>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</si>
  <si>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</si>
  <si>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</si>
  <si>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Armstrong State University</t>
  </si>
  <si>
    <t>Clayton State University</t>
  </si>
  <si>
    <t>Columbus State University</t>
  </si>
  <si>
    <t>Fort Valley State University</t>
  </si>
  <si>
    <t>Georgia College and State University</t>
  </si>
  <si>
    <t>University of North Georgia</t>
  </si>
  <si>
    <t>Georgia Southwestern State University</t>
  </si>
  <si>
    <t>Savannah State University</t>
  </si>
  <si>
    <t xml:space="preserve">College of Coastal Georgia </t>
  </si>
  <si>
    <t xml:space="preserve">Dalton State College </t>
  </si>
  <si>
    <t>Georgia Gwinnett College</t>
  </si>
  <si>
    <t>Middle Georgia State College</t>
  </si>
  <si>
    <t xml:space="preserve">Abraham Baldwin Agricultural College </t>
  </si>
  <si>
    <t>Atlanta Metropolitan State College</t>
  </si>
  <si>
    <t>East Georgia State College</t>
  </si>
  <si>
    <t>Georgia Highlands College</t>
  </si>
  <si>
    <t xml:space="preserve">Gordon State College </t>
  </si>
  <si>
    <t>South Georgia State College</t>
  </si>
  <si>
    <t xml:space="preserve">Bainbridge State College </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</si>
  <si>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</si>
  <si>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</si>
  <si>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</si>
  <si>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</si>
  <si>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</si>
  <si>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</si>
  <si>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</si>
  <si>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</si>
  <si>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</si>
  <si>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</si>
  <si>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</si>
  <si>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</si>
  <si>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</si>
  <si>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</si>
  <si>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</si>
  <si>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</si>
  <si>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</si>
  <si>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</si>
  <si>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</si>
  <si>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</si>
  <si>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</si>
  <si>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</si>
  <si>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</si>
  <si>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</si>
  <si>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</si>
  <si>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</si>
  <si>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</si>
  <si>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</si>
  <si>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</si>
  <si>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</si>
  <si>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</si>
  <si>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</si>
  <si>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</si>
  <si>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</si>
  <si>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</si>
  <si>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</si>
  <si>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</si>
  <si>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</si>
  <si>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</si>
  <si>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</si>
  <si>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</si>
  <si>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</si>
  <si>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</si>
  <si>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</si>
  <si>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</si>
  <si>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Gateway Community and Technical College</t>
  </si>
  <si>
    <t>Southcentral Kentucky Community and Technical College</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</si>
  <si>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</si>
  <si>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</si>
  <si>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</si>
  <si>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</si>
  <si>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</si>
  <si>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</si>
  <si>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</si>
  <si>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</si>
  <si>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</si>
  <si>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</si>
  <si>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</si>
  <si>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</si>
  <si>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</si>
  <si>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</si>
  <si>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</si>
  <si>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</si>
  <si>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</si>
  <si>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</si>
  <si>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</si>
  <si>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</si>
  <si>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</si>
  <si>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</si>
  <si>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</si>
  <si>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</si>
  <si>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</si>
  <si>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</si>
  <si>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</si>
  <si>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</si>
  <si>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</si>
  <si>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</si>
  <si>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</si>
  <si>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MD</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</si>
  <si>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</si>
  <si>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</si>
  <si>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</si>
  <si>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</si>
  <si>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</si>
  <si>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</si>
  <si>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</si>
  <si>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</si>
  <si>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</si>
  <si>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</si>
  <si>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</si>
  <si>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</si>
  <si>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</si>
  <si>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</si>
  <si>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</si>
  <si>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</si>
  <si>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</si>
  <si>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</si>
  <si>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</si>
  <si>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</si>
  <si>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</si>
  <si>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</si>
  <si>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</si>
  <si>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</si>
  <si>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</si>
  <si>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</si>
  <si>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</si>
  <si>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Baltimore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</si>
  <si>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</si>
  <si>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</si>
  <si>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</si>
  <si>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</si>
  <si>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</si>
  <si>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</si>
  <si>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</si>
  <si>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</si>
  <si>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</si>
  <si>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</si>
  <si>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</si>
  <si>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</si>
  <si>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</si>
  <si>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</si>
  <si>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</si>
  <si>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</si>
  <si>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</si>
  <si>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</si>
  <si>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</si>
  <si>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</si>
  <si>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</si>
  <si>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</si>
  <si>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</si>
  <si>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</si>
  <si>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NC</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</si>
  <si>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</si>
  <si>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</si>
  <si>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</si>
  <si>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</si>
  <si>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</si>
  <si>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</si>
  <si>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</si>
  <si>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</si>
  <si>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</si>
  <si>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</si>
  <si>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</si>
  <si>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</si>
  <si>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</si>
  <si>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</si>
  <si>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</si>
  <si>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</si>
  <si>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</si>
  <si>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</si>
  <si>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</si>
  <si>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</si>
  <si>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</si>
  <si>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</si>
  <si>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</si>
  <si>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</si>
  <si>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</si>
  <si>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</si>
  <si>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</si>
  <si>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</si>
  <si>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</si>
  <si>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</si>
  <si>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</si>
  <si>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</si>
  <si>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</si>
  <si>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</si>
  <si>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</si>
  <si>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</si>
  <si>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</si>
  <si>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</si>
  <si>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</si>
  <si>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</si>
  <si>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</si>
  <si>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</si>
  <si>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</si>
  <si>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</si>
  <si>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</si>
  <si>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</si>
  <si>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</si>
  <si>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</si>
  <si>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</si>
  <si>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</si>
  <si>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</si>
  <si>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</si>
  <si>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</si>
  <si>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</si>
  <si>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</si>
  <si>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</si>
  <si>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</si>
  <si>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</si>
  <si>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</si>
  <si>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</si>
  <si>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</si>
  <si>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</si>
  <si>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</si>
  <si>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</si>
  <si>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</si>
  <si>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</si>
  <si>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</si>
  <si>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</si>
  <si>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</si>
  <si>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</si>
  <si>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</si>
  <si>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</si>
  <si>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</si>
  <si>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OK</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</si>
  <si>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</si>
  <si>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</si>
  <si>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</si>
  <si>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</si>
  <si>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</si>
  <si>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</si>
  <si>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</si>
  <si>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</si>
  <si>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</si>
  <si>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</si>
  <si>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</si>
  <si>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</si>
  <si>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</si>
  <si>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Oklahoma State University-Oklahoma City</t>
  </si>
  <si>
    <t xml:space="preserve">Oklahoma City Community College </t>
  </si>
  <si>
    <t xml:space="preserve">Tulsa Community College </t>
  </si>
  <si>
    <t xml:space="preserve">Northern Oklahoma College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</si>
  <si>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</si>
  <si>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</si>
  <si>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</si>
  <si>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</si>
  <si>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</si>
  <si>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</si>
  <si>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</si>
  <si>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</si>
  <si>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</si>
  <si>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</si>
  <si>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</si>
  <si>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</si>
  <si>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</si>
  <si>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</si>
  <si>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</si>
  <si>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</si>
  <si>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</si>
  <si>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</si>
  <si>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</si>
  <si>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</si>
  <si>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</si>
  <si>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</si>
  <si>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</si>
  <si>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</si>
  <si>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</si>
  <si>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</si>
  <si>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</si>
  <si>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</si>
  <si>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</si>
  <si>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</si>
  <si>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</si>
  <si>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</si>
  <si>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</si>
  <si>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</si>
  <si>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</si>
  <si>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</si>
  <si>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</si>
  <si>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</si>
  <si>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</si>
  <si>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</si>
  <si>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</si>
  <si>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TN</t>
  </si>
  <si>
    <t>University of Memphis</t>
  </si>
  <si>
    <t>University of Tennessee, Knoxville</t>
  </si>
  <si>
    <t xml:space="preserve">East Tennessee State University </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</si>
  <si>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</si>
  <si>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</si>
  <si>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</si>
  <si>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</si>
  <si>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</si>
  <si>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</si>
  <si>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</si>
  <si>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</si>
  <si>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</si>
  <si>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</si>
  <si>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</si>
  <si>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</si>
  <si>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</si>
  <si>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</si>
  <si>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</si>
  <si>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</si>
  <si>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</si>
  <si>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</si>
  <si>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</si>
  <si>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</si>
  <si>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</si>
  <si>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</si>
  <si>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</si>
  <si>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</si>
  <si>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</si>
  <si>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</si>
  <si>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</si>
  <si>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</si>
  <si>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</si>
  <si>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</si>
  <si>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</si>
  <si>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</si>
  <si>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</si>
  <si>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</si>
  <si>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</si>
  <si>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</si>
  <si>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</si>
  <si>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</si>
  <si>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</si>
  <si>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</si>
  <si>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</si>
  <si>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</si>
  <si>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</si>
  <si>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</si>
  <si>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</si>
  <si>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</si>
  <si>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</si>
  <si>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TX</t>
  </si>
  <si>
    <t>N/A</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</si>
  <si>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</si>
  <si>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</si>
  <si>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</si>
  <si>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</si>
  <si>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</si>
  <si>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</si>
  <si>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</si>
  <si>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</si>
  <si>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</si>
  <si>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</si>
  <si>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</si>
  <si>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</si>
  <si>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</si>
  <si>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</si>
  <si>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</si>
  <si>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</si>
  <si>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</si>
  <si>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</si>
  <si>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</si>
  <si>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</si>
  <si>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</si>
  <si>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</si>
  <si>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</si>
  <si>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</si>
  <si>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</si>
  <si>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</si>
  <si>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</si>
  <si>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</si>
  <si>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</si>
  <si>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</si>
  <si>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</si>
  <si>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</si>
  <si>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</si>
  <si>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</si>
  <si>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</si>
  <si>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</si>
  <si>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</si>
  <si>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</si>
  <si>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</si>
  <si>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</si>
  <si>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</si>
  <si>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</si>
  <si>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</si>
  <si>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</si>
  <si>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</si>
  <si>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</si>
  <si>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</si>
  <si>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</si>
  <si>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</si>
  <si>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</si>
  <si>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</si>
  <si>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</si>
  <si>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</si>
  <si>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</si>
  <si>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</si>
  <si>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</si>
  <si>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</si>
  <si>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</si>
  <si>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</si>
  <si>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</si>
  <si>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Ben Franklin Career Center</t>
  </si>
  <si>
    <t>Cabell County Career Technology Center</t>
  </si>
  <si>
    <t>Fayette Institute of Technology</t>
  </si>
  <si>
    <t xml:space="preserve">Fred W. Eberle Technical Center </t>
  </si>
  <si>
    <t xml:space="preserve">Garnet Career Center </t>
  </si>
  <si>
    <t>James Rumsey Technical Institute</t>
  </si>
  <si>
    <t>John D. Rockefeller IV Career Center</t>
  </si>
  <si>
    <t>Mercer County Technical Education Center</t>
  </si>
  <si>
    <t xml:space="preserve">Monongalia County Technical Education Center </t>
  </si>
  <si>
    <t>Putnam Career and Technical Center</t>
  </si>
  <si>
    <t>Ralph R. Willis Career and Technical Center</t>
  </si>
  <si>
    <t>Roane-Jackson Technical Center</t>
  </si>
  <si>
    <t>South Branch Career &amp; Technical Center</t>
  </si>
  <si>
    <t>United Technical Center</t>
  </si>
  <si>
    <t>Mingo Extended Learning Center</t>
  </si>
  <si>
    <t>Randolph Technical Center</t>
  </si>
  <si>
    <t>Wood County School of Practical Nursing</t>
  </si>
  <si>
    <t>NOT a Review Table</t>
  </si>
  <si>
    <t>type2</t>
  </si>
  <si>
    <t>Four-Year</t>
  </si>
  <si>
    <t>Four-Year Total</t>
  </si>
  <si>
    <t>14 Total</t>
  </si>
  <si>
    <t>Two-Year</t>
  </si>
  <si>
    <t>Two-Year Total</t>
  </si>
  <si>
    <t>Techncial</t>
  </si>
  <si>
    <t>Techncial Total</t>
  </si>
  <si>
    <t>Data</t>
  </si>
  <si>
    <t>Sum of OLD-Tot UG SCH Calc</t>
  </si>
  <si>
    <t>Sum of NEW-Tot UG SCH Calc</t>
  </si>
  <si>
    <t>Sum of Old UG E-Learning</t>
  </si>
  <si>
    <t>Sum of New UG E-Learning</t>
  </si>
  <si>
    <t>Sum of Old-Tot G SCH Calc</t>
  </si>
  <si>
    <t>Sum of New-Tot G SCH Calc</t>
  </si>
  <si>
    <t>Sum of Old G E-Learning</t>
  </si>
  <si>
    <t>Sum of New G E-Learning</t>
  </si>
  <si>
    <t xml:space="preserve"> </t>
  </si>
  <si>
    <t>Four-Year +</t>
  </si>
  <si>
    <t>Four-Year + Total</t>
  </si>
  <si>
    <t>Technical</t>
  </si>
  <si>
    <t>Technical Total</t>
  </si>
  <si>
    <t>Grand Total</t>
  </si>
  <si>
    <t xml:space="preserve"> Old %UG OnC Trad</t>
  </si>
  <si>
    <t xml:space="preserve"> New %UG OnC Trad</t>
  </si>
  <si>
    <t xml:space="preserve"> Change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</si>
  <si>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</si>
  <si>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</si>
  <si>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</si>
  <si>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</si>
  <si>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</si>
  <si>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</si>
  <si>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</si>
  <si>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</si>
  <si>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</si>
  <si>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</si>
  <si>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</si>
  <si>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</si>
  <si>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</si>
  <si>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</si>
  <si>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</si>
  <si>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</si>
  <si>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</si>
  <si>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</si>
  <si>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</si>
  <si>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</si>
  <si>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</si>
  <si>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</si>
  <si>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</si>
  <si>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</si>
  <si>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</si>
  <si>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</si>
  <si>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</si>
  <si>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</si>
  <si>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</si>
  <si>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</si>
  <si>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</si>
  <si>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</si>
  <si>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</si>
  <si>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</si>
  <si>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</si>
  <si>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Change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</si>
  <si>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</si>
  <si>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</si>
  <si>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</si>
  <si>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</si>
  <si>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</si>
  <si>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</si>
  <si>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</si>
  <si>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</si>
  <si>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</si>
  <si>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</si>
  <si>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</si>
  <si>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</si>
  <si>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</si>
  <si>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</si>
  <si>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</si>
  <si>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</si>
  <si>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</si>
  <si>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</si>
  <si>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</si>
  <si>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</si>
  <si>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</si>
  <si>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</si>
  <si>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</si>
  <si>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</si>
  <si>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</si>
  <si>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</si>
  <si>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</si>
  <si>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</si>
  <si>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</si>
  <si>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</si>
  <si>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</si>
  <si>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</si>
  <si>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</si>
  <si>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(blank)</t>
  </si>
  <si>
    <t>(blank) Total</t>
  </si>
  <si>
    <t>Total UG SCH</t>
  </si>
  <si>
    <t>4-year</t>
  </si>
  <si>
    <t>2-year</t>
  </si>
  <si>
    <t>Tech</t>
  </si>
  <si>
    <t>Total</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</si>
  <si>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</si>
  <si>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</si>
  <si>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</si>
  <si>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</si>
  <si>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</si>
  <si>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</si>
  <si>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</si>
  <si>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</si>
  <si>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</si>
  <si>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</si>
  <si>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</si>
  <si>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</si>
  <si>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</si>
  <si>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</si>
  <si>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</si>
  <si>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</si>
  <si>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E-Learning UG SCH</t>
  </si>
  <si>
    <t>Total G SCH</t>
  </si>
  <si>
    <t>E-Learning G SCH</t>
  </si>
  <si>
    <t>Table 91</t>
  </si>
  <si>
    <t>Table 106</t>
  </si>
  <si>
    <t>Undergraduate Instructional Activity by Type of Instruction</t>
  </si>
  <si>
    <t>Graduate Instructional Activity by Type of Instruction</t>
  </si>
  <si>
    <t>Percent of Total</t>
  </si>
  <si>
    <t>Traditional</t>
  </si>
  <si>
    <t>e-Learning</t>
  </si>
  <si>
    <t>On-Campus</t>
  </si>
  <si>
    <t>Off-Campus</t>
  </si>
  <si>
    <t>Subtotal</t>
  </si>
  <si>
    <t>2-Way Compressed Video</t>
  </si>
  <si>
    <r>
      <t>Other</t>
    </r>
    <r>
      <rPr>
        <b/>
        <vertAlign val="superscript"/>
        <sz val="9"/>
        <rFont val="Arial"/>
        <family val="2"/>
      </rPr>
      <t>2</t>
    </r>
  </si>
  <si>
    <t>Corre- spondence</t>
  </si>
  <si>
    <t>check figs</t>
  </si>
  <si>
    <r>
      <t>Florida</t>
    </r>
    <r>
      <rPr>
        <vertAlign val="superscript"/>
        <sz val="10"/>
        <rFont val="Arial"/>
        <family val="2"/>
      </rPr>
      <t>3</t>
    </r>
  </si>
  <si>
    <r>
      <t>2</t>
    </r>
    <r>
      <rPr>
        <sz val="8"/>
        <rFont val="Arial"/>
        <family val="2"/>
      </rPr>
      <t>Courses delivered via satellite, cable TV, broadcast TV/radio, closed-circuit TV, video tape, CD-ROMS, e-mail, etc.</t>
    </r>
  </si>
  <si>
    <r>
      <t>3</t>
    </r>
    <r>
      <rPr>
        <sz val="8"/>
        <rFont val="Arial"/>
        <family val="2"/>
      </rPr>
      <t>The university system in Florida uses an 80 percent rule to define e-learning so their figures here are likely lower than they would be if they used the 50 percent rule.</t>
    </r>
  </si>
  <si>
    <t>Table 92</t>
  </si>
  <si>
    <t>Table 107</t>
  </si>
  <si>
    <r>
      <t>Other</t>
    </r>
    <r>
      <rPr>
        <b/>
        <vertAlign val="superscript"/>
        <sz val="9"/>
        <rFont val="Arial"/>
        <family val="2"/>
      </rPr>
      <t>1</t>
    </r>
  </si>
  <si>
    <r>
      <t>Florida</t>
    </r>
    <r>
      <rPr>
        <vertAlign val="superscript"/>
        <sz val="10"/>
        <rFont val="Arial"/>
        <family val="2"/>
      </rPr>
      <t>2</t>
    </r>
  </si>
  <si>
    <r>
      <t>1</t>
    </r>
    <r>
      <rPr>
        <sz val="8"/>
        <rFont val="Arial"/>
        <family val="2"/>
      </rPr>
      <t>Courses delivered via satellite, cable TV, broadcast TV/radio, closed-circuit TV, video tape, CD-ROMS, e-mail, etc.</t>
    </r>
  </si>
  <si>
    <r>
      <t>2</t>
    </r>
    <r>
      <rPr>
        <sz val="8"/>
        <rFont val="Arial"/>
        <family val="2"/>
      </rPr>
      <t>The university system in Florida uses a 75 percent rule to define e-learning so their figures here are likely lower than they would be if they used the 50 percent rule.</t>
    </r>
  </si>
  <si>
    <t>Table 93</t>
  </si>
  <si>
    <t>Table 108</t>
  </si>
  <si>
    <t>Table 94</t>
  </si>
  <si>
    <t>Table 109</t>
  </si>
  <si>
    <r>
      <t>2</t>
    </r>
    <r>
      <rPr>
        <sz val="8"/>
        <rFont val="Arial"/>
        <family val="2"/>
      </rPr>
      <t>The university system in Florida uses an 80 percent rule to define e-learning so their figures here are likely lower than they would be if they used the 50 percent rule.</t>
    </r>
  </si>
  <si>
    <t>Table 95</t>
  </si>
  <si>
    <t>Table 110</t>
  </si>
  <si>
    <t>Table 96</t>
  </si>
  <si>
    <t>Table 111</t>
  </si>
  <si>
    <t>Table 97</t>
  </si>
  <si>
    <t>Table 112</t>
  </si>
  <si>
    <t>Table 98</t>
  </si>
  <si>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</si>
  <si>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</si>
  <si>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t>Table 99</t>
  </si>
  <si>
    <r>
      <t>2</t>
    </r>
    <r>
      <rPr>
        <sz val="8"/>
        <rFont val="Arial"/>
        <family val="2"/>
      </rPr>
      <t>Florida Community Colleges define e-learning when 75 percent of course content is delivered electronically so the figures reported here are likely lower than they would be if they employed a 50 percent rule.</t>
    </r>
  </si>
  <si>
    <t>Table 100</t>
  </si>
  <si>
    <t>Table 101</t>
  </si>
  <si>
    <t>Table 102</t>
  </si>
  <si>
    <t>Table 103</t>
  </si>
  <si>
    <t>Table 104</t>
  </si>
  <si>
    <t>Table 105</t>
  </si>
  <si>
    <t>Table 87</t>
  </si>
  <si>
    <r>
      <t>All</t>
    </r>
    <r>
      <rPr>
        <b/>
        <vertAlign val="superscript"/>
        <sz val="10"/>
        <rFont val="Arial"/>
        <family val="2"/>
      </rPr>
      <t>1</t>
    </r>
  </si>
  <si>
    <t>with bachs.</t>
  </si>
  <si>
    <t>All</t>
  </si>
  <si>
    <t>Table 88</t>
  </si>
  <si>
    <r>
      <t>2</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</si>
  <si>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t>Table 89</t>
  </si>
  <si>
    <t>Percent of Graduate Instructional Activity</t>
  </si>
  <si>
    <t xml:space="preserve"> in Traditional Classroom Instruction</t>
  </si>
  <si>
    <t>Table 90</t>
  </si>
  <si>
    <t>Percent of Graduate Instructional Activity in e-Learning</t>
  </si>
  <si>
    <r>
      <t>2</t>
    </r>
    <r>
      <rPr>
        <sz val="8"/>
        <rFont val="Arial"/>
        <family val="2"/>
      </rPr>
      <t xml:space="preserve"> The university system in Florida uses an 80 percent rule to define e-learning so their figures here are likely lower than they would be if they used the 50 percent rule.</t>
    </r>
  </si>
  <si>
    <r>
      <t>All</t>
    </r>
    <r>
      <rPr>
        <b/>
        <vertAlign val="superscript"/>
        <sz val="9"/>
        <rFont val="Arial"/>
        <family val="2"/>
      </rPr>
      <t>1</t>
    </r>
  </si>
  <si>
    <t>Change</t>
  </si>
  <si>
    <t>4-Yr</t>
  </si>
  <si>
    <t>2-Yr</t>
  </si>
  <si>
    <r>
      <rPr>
        <b/>
        <sz val="10"/>
        <color rgb="FF000000"/>
        <rFont val="Arial"/>
        <family val="2"/>
      </rPr>
      <t xml:space="preserve">Data Columns:  </t>
    </r>
    <r>
      <rPr>
        <sz val="10"/>
        <color rgb="FF000000"/>
        <rFont val="Arial"/>
        <family val="2"/>
      </rPr>
      <t>White = New Data, Peach = Old Data, Purple/Grey = Calculated Data.</t>
    </r>
  </si>
  <si>
    <t>Total Undergraduate SCH</t>
  </si>
  <si>
    <t>Total Graduate SCH</t>
  </si>
  <si>
    <t xml:space="preserve">John C. Calhoun Community College </t>
  </si>
  <si>
    <t>George C. Wallace Community College-Dothan</t>
  </si>
  <si>
    <t>George C. Wallace State Community College-Hanceville</t>
  </si>
  <si>
    <t>Chattahoochee Valley Community College</t>
  </si>
  <si>
    <t>Enterprise State Community College</t>
  </si>
  <si>
    <t>Northeast Alabama Community College</t>
  </si>
  <si>
    <t>H. Councill Trenholm State Community College</t>
  </si>
  <si>
    <t>J.F. Drake State Community and Technical College</t>
  </si>
  <si>
    <t>University of Arkansas - Pulaski Technical College</t>
  </si>
  <si>
    <t>University of Arkansas Community College Rich Mountain</t>
  </si>
  <si>
    <t xml:space="preserve">Georgia State University </t>
  </si>
  <si>
    <t>*Delete after 2017-18; Institution was consolidated into Georgia Southern University</t>
  </si>
  <si>
    <t>Augusta University</t>
  </si>
  <si>
    <t>*Delete after 2017-18; Institution was consolidated into Abraham Baldwin Agricultural College. Met the criteria for Two-Year with Bachelor's in 2017-18 amd 2018-19.</t>
  </si>
  <si>
    <t>Central LA Technical Community College</t>
  </si>
  <si>
    <t>University of North Carolina School of the Arts</t>
  </si>
  <si>
    <t>Public Four-Year 1 Institutions, 2018</t>
  </si>
  <si>
    <t>Public Four-Year 2 Institutions, 2018</t>
  </si>
  <si>
    <t>Public Four-Year 3 Institutions, 2018</t>
  </si>
  <si>
    <t>Public Four-Year 4 Institutions, 2018</t>
  </si>
  <si>
    <t>Public Four-Year 5 Institutions, 2018</t>
  </si>
  <si>
    <t>Public Four-Year 6 Institutions, 2018</t>
  </si>
  <si>
    <t>Public Two-Year, 2018</t>
  </si>
  <si>
    <t>Public Two-Year with Bachelor's Institutions, 2018</t>
  </si>
  <si>
    <t>Public Two-Year 1 Institutions, 2018</t>
  </si>
  <si>
    <t>Public Two-Year 2 Institutions, 2018</t>
  </si>
  <si>
    <t>Public Two-Year 3 Institutions, 2018</t>
  </si>
  <si>
    <t>Public Technical Institutes or Colleges, 2018</t>
  </si>
  <si>
    <t>Public Technical Institutes or Colleges 1, 2018</t>
  </si>
  <si>
    <t>Public Technical Institutes or Colleges 2, 2018</t>
  </si>
  <si>
    <t>Percent of Undergraduate Instructional Activity in Traditional Classroom Instruction by Type of Institution, 2018</t>
  </si>
  <si>
    <t>Percent of Undergraduate Instructional Activity in e-Learning by Type of Institution, 2018</t>
  </si>
  <si>
    <t>by Type of Institution, 2018</t>
  </si>
  <si>
    <t>Met the criteria for Four-Year 3 in 2018-19 and 2019-20.</t>
  </si>
  <si>
    <t>Met the criteria for Four-Year 4 in 2018-19 and 2019-20.</t>
  </si>
  <si>
    <t>Met the criteria for Four-Year 5 in 2019-20.</t>
  </si>
  <si>
    <t>Coastal Alabama Community College</t>
  </si>
  <si>
    <t>Met the criteria for Two-Year 1 in 2018-19 and 2019-20.</t>
  </si>
  <si>
    <t>Met the criteria for Two-Year 2 in 2018-19 and 2019-20.</t>
  </si>
  <si>
    <t>Reclassified: Met the criteria for Four-Year 4 in 2017-18, 2018-19, and 2019-20.</t>
  </si>
  <si>
    <t>Arkansas State University Three Rivers</t>
  </si>
  <si>
    <t>2019-20: Institution joined one of our university systems</t>
  </si>
  <si>
    <t>University of Arkansas Community College at Hope-Texarkana</t>
  </si>
  <si>
    <t xml:space="preserve">Met the criteria for Two-Year with Bachelor's in 2019-20. </t>
  </si>
  <si>
    <t>The College of the Florida Keys</t>
  </si>
  <si>
    <t xml:space="preserve">Met the criteria for Two-Year with Bachelor's in 2018-19 and 2019-20. </t>
  </si>
  <si>
    <t xml:space="preserve">North Florida College </t>
  </si>
  <si>
    <t>Met the criteria for Four-Year 2 in 2019-20.</t>
  </si>
  <si>
    <t>Met the criteria for Four-Year 5 in 2018-19 and 2019-20.</t>
  </si>
  <si>
    <t xml:space="preserve">Reclassified: Met the criteria for Four-Year 6 in 2017-18, 2018-19, and 2019-20. </t>
  </si>
  <si>
    <t>Reclassified: Met the criteria for Two-Year 3 in 2017-18, 2018-19, and 2019-20.</t>
  </si>
  <si>
    <t>Met the criteria for Two-Year 3 in 2019-20.</t>
  </si>
  <si>
    <t>Reclassified: Met the criteria for Two-Year 2 in 2017-18, 2018-19, and 2019-20.</t>
  </si>
  <si>
    <t>Reclassified: Met the criteria for Technical Institute or College 2 in 2017-18, 2018-19, and 2019-20.</t>
  </si>
  <si>
    <t>*Delete after 2017-18; campuses have been absorbed into other institutions.</t>
  </si>
  <si>
    <t>Southern University Law Center</t>
  </si>
  <si>
    <t>Met the criteria for Two-Year 3 in 2018-19 and 2019-20.</t>
  </si>
  <si>
    <t>Met the criteria for Four-Year 4 in 2019-20.</t>
  </si>
  <si>
    <t>University of Maryland Global Campus</t>
  </si>
  <si>
    <t>Met the criteria for Two-Year 2 in 2019-20.</t>
  </si>
  <si>
    <t>Oklahoma State University Institute of Technology - Okmulgee</t>
  </si>
  <si>
    <t xml:space="preserve">Williamsburg Technical College </t>
  </si>
  <si>
    <t>Met the criteria for Technical Institute or College 1 in 2019-20.</t>
  </si>
  <si>
    <t>Reclassified: Met the criteria for Two-Year 2 in 2017-18, 2018-19, and 2019-20. </t>
  </si>
  <si>
    <t>Academy of Careers and Technology</t>
  </si>
  <si>
    <t>Boone Career and Technical Center</t>
  </si>
  <si>
    <t>Carver Career and Technical Education Center</t>
  </si>
  <si>
    <t>Marion County Technical Center</t>
  </si>
  <si>
    <t>McDowell County Career and Technology Center</t>
  </si>
  <si>
    <t>Mineral County Technical Center</t>
  </si>
  <si>
    <t>Wyoming County Career &amp; Technical Center</t>
  </si>
  <si>
    <t>Greenbrier School of Practical Nursing</t>
  </si>
  <si>
    <t>Summers County School of Practical Nursing</t>
  </si>
  <si>
    <t>Percent of Undergraduate Instructional Activity in Traditional Classroom Instruction by Type of Institution, 2019</t>
  </si>
  <si>
    <t>Percent of Undergraduate Instructional Activity in e-Learning by Type of Institution, 2019</t>
  </si>
  <si>
    <t>by Type of Institution, 2019</t>
  </si>
  <si>
    <t>Public Four-Year 1 Institutions, 2019</t>
  </si>
  <si>
    <t>Public Four-Year 2 Institutions, 2019</t>
  </si>
  <si>
    <t>Public Four-Year 3 Institutions, 2019</t>
  </si>
  <si>
    <t>Public Four-Year 4 Institutions, 2019</t>
  </si>
  <si>
    <t>Public Four-Year 5 Institutions, 2019</t>
  </si>
  <si>
    <t>Public Four-Year 6 Institutions, 2019</t>
  </si>
  <si>
    <t>Public Two-Year, 2019</t>
  </si>
  <si>
    <t>Public Two-Year with Bachelor's Institutions, 2019</t>
  </si>
  <si>
    <t>Public Two-Year 1 Institutions, 2019</t>
  </si>
  <si>
    <t>Public Two-Year 2 Institutions, 2019</t>
  </si>
  <si>
    <t>Public Two-Year 3 Institutions, 2019</t>
  </si>
  <si>
    <t>Public Technical Institutes or Colleges, 2019</t>
  </si>
  <si>
    <t>Public Technical Institutes or Colleges 1, 2019</t>
  </si>
  <si>
    <t>Public Technical Institutes or Colleges 2, 2019</t>
  </si>
  <si>
    <t xml:space="preserve">    Feb 2021</t>
  </si>
  <si>
    <r>
      <t xml:space="preserve">1 </t>
    </r>
    <r>
      <rPr>
        <sz val="8"/>
        <rFont val="Arial"/>
        <family val="2"/>
      </rPr>
      <t>The "all four-year" figures include the Marion Military Institute, University of Arkansas for Medical Sciences, Southern University Law Center, University of Maryland Global Campus, University of Maryland - Baltimore, and University of North Carolina School of the Arts.</t>
    </r>
  </si>
  <si>
    <r>
      <t>1</t>
    </r>
    <r>
      <rPr>
        <sz val="8"/>
        <rFont val="Arial"/>
        <family val="2"/>
      </rPr>
      <t xml:space="preserve"> The "all four-year" figures include the Marion Military Institute, University of Arkansas for Medical Sciences, Southern University Law Center, University of Maryland Global Campus, University of Maryland - Baltimore, and University of North Carolina School of the Arts.</t>
    </r>
  </si>
  <si>
    <r>
      <t>Public Four-Year Institutions</t>
    </r>
    <r>
      <rPr>
        <b/>
        <vertAlign val="superscript"/>
        <sz val="12"/>
        <rFont val="Arial"/>
        <family val="2"/>
      </rPr>
      <t>1</t>
    </r>
    <r>
      <rPr>
        <b/>
        <sz val="12"/>
        <rFont val="Arial"/>
        <family val="2"/>
      </rPr>
      <t>, 2019</t>
    </r>
  </si>
  <si>
    <r>
      <t>1</t>
    </r>
    <r>
      <rPr>
        <sz val="8"/>
        <rFont val="Arial"/>
        <family val="2"/>
      </rPr>
      <t>The "all four-year" figures include the Marion Military Institute, University of Arkansas for Medical Sciences, Southern University Law Center, University of Maryland Global Campus, University of Maryland - Baltimore, and University of North Carolina School of the Arts.</t>
    </r>
  </si>
  <si>
    <r>
      <t>Public Four-Year Institutions</t>
    </r>
    <r>
      <rPr>
        <b/>
        <vertAlign val="superscript"/>
        <sz val="12"/>
        <rFont val="Arial"/>
        <family val="2"/>
      </rPr>
      <t>1</t>
    </r>
    <r>
      <rPr>
        <b/>
        <sz val="12"/>
        <rFont val="Arial"/>
        <family val="2"/>
      </rPr>
      <t>,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</si>
</sst>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
    <numFmt numFmtId="170" formatCode="0.000"/>
    <numFmt numFmtId="171" formatCode="0.0000"/>
    <numFmt numFmtId="172" formatCode="0.00000"/>
  </numFmts>
  <fonts count="50">
    <font>
      <sz val="12"/>
      <name val="AGaramond"/>
    </font>
    <font>
      <sz val="11"/>
      <color theme="1"/>
      <name val="Calibri"/>
      <family val="2"/>
      <scheme val="minor"/>
    </font>
    <font>
      <sz val="10"/>
      <name val="Arial"/>
      <family val="2"/>
    </font>
    <font>
      <b/>
      <sz val="10"/>
      <color indexed="10"/>
      <name val="Arial"/>
      <family val="2"/>
    </font>
    <font>
      <b/>
      <sz val="10"/>
      <name val="Arial"/>
      <family val="2"/>
    </font>
    <font>
      <b/>
      <sz val="10"/>
      <color indexed="12"/>
      <name val="Arial"/>
      <family val="2"/>
    </font>
    <font>
      <sz val="10"/>
      <color indexed="12"/>
      <name val="Arial"/>
      <family val="2"/>
    </font>
    <font>
      <b/>
      <sz val="14"/>
      <name val="Arial"/>
      <family val="2"/>
    </font>
    <font>
      <b/>
      <sz val="10"/>
      <color rgb="FFC00000"/>
      <name val="Arial"/>
      <family val="2"/>
    </font>
    <font>
      <sz val="10"/>
      <color rgb="FF0000FF"/>
      <name val="Arial"/>
      <family val="2"/>
    </font>
    <font>
      <b/>
      <sz val="10"/>
      <color theme="0"/>
      <name val="Arial"/>
      <family val="2"/>
    </font>
    <font>
      <b/>
      <sz val="10"/>
      <color rgb="FF0000FF"/>
      <name val="Arial"/>
      <family val="2"/>
    </font>
    <font>
      <b/>
      <sz val="14"/>
      <color theme="0"/>
      <name val="Arial"/>
      <family val="2"/>
    </font>
    <font>
      <b/>
      <sz val="14"/>
      <color rgb="FFFF0000"/>
      <name val="Arial"/>
      <family val="2"/>
    </font>
    <font>
      <sz val="10"/>
      <color theme="1"/>
      <name val="Arial"/>
      <family val="2"/>
    </font>
    <font>
      <b/>
      <sz val="10"/>
      <color rgb="FF000000"/>
      <name val="Arial"/>
      <family val="2"/>
    </font>
    <font>
      <sz val="10"/>
      <color rgb="FF000000"/>
      <name val="Arial"/>
      <family val="2"/>
    </font>
    <font>
      <b/>
      <sz val="11"/>
      <color rgb="FF000000"/>
      <name val="Tahoma"/>
      <family val="2"/>
    </font>
    <font>
      <b/>
      <sz val="10"/>
      <color rgb="FFFF0000"/>
      <name val="Arial"/>
      <family val="2"/>
    </font>
    <font>
      <b/>
      <sz val="11"/>
      <color rgb="FFC00000"/>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C00000"/>
      <name val="Calibri"/>
      <family val="2"/>
      <scheme val="minor"/>
    </font>
    <font>
      <sz val="14"/>
      <name val="Arial"/>
      <family val="2"/>
    </font>
    <font>
      <sz val="14"/>
      <color rgb="FFC00000"/>
      <name val="Arial"/>
      <family val="2"/>
    </font>
    <font>
      <sz val="8"/>
      <name val="Arial"/>
      <family val="2"/>
    </font>
    <font>
      <b/>
      <sz val="12"/>
      <name val="Arial"/>
      <family val="2"/>
    </font>
    <font>
      <sz val="10"/>
      <color rgb="FFC00000"/>
      <name val="Arial"/>
      <family val="2"/>
    </font>
    <font>
      <b/>
      <sz val="9"/>
      <name val="Arial"/>
      <family val="2"/>
    </font>
    <font>
      <sz val="9"/>
      <color rgb="FFC00000"/>
      <name val="Arial"/>
      <family val="2"/>
    </font>
    <font>
      <b/>
      <sz val="9"/>
      <color rgb="FFC00000"/>
      <name val="Arial"/>
      <family val="2"/>
    </font>
    <font>
      <b/>
      <vertAlign val="superscript"/>
      <sz val="9"/>
      <name val="Arial"/>
      <family val="2"/>
    </font>
    <font>
      <vertAlign val="superscript"/>
      <sz val="10"/>
      <name val="Arial"/>
      <family val="2"/>
    </font>
    <font>
      <vertAlign val="superscript"/>
      <sz val="8"/>
      <name val="Arial"/>
      <family val="2"/>
    </font>
    <font>
      <sz val="11"/>
      <color indexed="8"/>
      <name val="Calibri"/>
      <family val="2"/>
    </font>
    <font>
      <sz val="8"/>
      <color rgb="FFC00000"/>
      <name val="Arial"/>
      <family val="2"/>
    </font>
    <font>
      <b/>
      <sz val="10"/>
      <color indexed="81"/>
      <name val="Tahoma"/>
      <family val="2"/>
    </font>
    <font>
      <sz val="10"/>
      <color indexed="81"/>
      <name val="Tahoma"/>
      <family val="2"/>
    </font>
    <font>
      <b/>
      <sz val="9"/>
      <color indexed="81"/>
      <name val="Tahoma"/>
      <family val="2"/>
    </font>
    <font>
      <sz val="9"/>
      <color indexed="81"/>
      <name val="Tahoma"/>
      <family val="2"/>
    </font>
    <font>
      <sz val="9"/>
      <name val="Arial"/>
      <family val="2"/>
    </font>
    <font>
      <b/>
      <sz val="12"/>
      <color indexed="8"/>
      <name val="Arial"/>
      <family val="2"/>
    </font>
    <font>
      <b/>
      <sz val="10"/>
      <color indexed="8"/>
      <name val="Arial"/>
      <family val="2"/>
    </font>
    <font>
      <b/>
      <vertAlign val="superscript"/>
      <sz val="10"/>
      <name val="Arial"/>
      <family val="2"/>
    </font>
    <font>
      <sz val="8"/>
      <color rgb="FF000000"/>
      <name val="Verdana"/>
      <family val="2"/>
    </font>
    <font>
      <sz val="10"/>
      <color rgb="FF9C0000"/>
      <name val="Arial"/>
      <family val="2"/>
    </font>
    <font>
      <sz val="10"/>
      <color rgb="FFFFFFFF"/>
      <name val="Arial"/>
      <family val="2"/>
    </font>
    <font>
      <sz val="8"/>
      <color rgb="FF000000"/>
      <name val="Tahoma"/>
      <family val="2"/>
    </font>
    <font>
      <b/>
      <vertAlign val="superscript"/>
      <sz val="12"/>
      <name val="Arial"/>
      <family val="2"/>
    </font>
  </fonts>
  <fills count="4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
      <patternFill patternType="solid">
        <fgColor indexed="45"/>
        <bgColor indexed="64"/>
      </patternFill>
    </fill>
    <fill>
      <patternFill patternType="solid">
        <fgColor rgb="FFFF99CC"/>
        <bgColor indexed="64"/>
      </patternFill>
    </fill>
    <fill>
      <patternFill patternType="solid">
        <fgColor theme="9" tint="0.59999389629810485"/>
        <bgColor theme="9" tint="0.59999389629810485"/>
      </patternFill>
    </fill>
    <fill>
      <patternFill patternType="solid">
        <fgColor rgb="FFFFFFFF"/>
        <bgColor rgb="FFFFFFFF"/>
      </patternFill>
    </fill>
    <fill>
      <patternFill patternType="solid">
        <fgColor indexed="45"/>
      </patternFill>
    </fill>
    <fill>
      <patternFill patternType="solid">
        <fgColor indexed="47"/>
        <bgColor indexed="64"/>
      </patternFill>
    </fill>
    <fill>
      <patternFill patternType="solid">
        <fgColor rgb="FFFFCC99"/>
        <bgColor rgb="FFFFCC99"/>
      </patternFill>
    </fill>
    <fill>
      <patternFill patternType="solid">
        <fgColor indexed="47"/>
      </patternFill>
    </fill>
    <fill>
      <patternFill patternType="solid">
        <fgColor rgb="FFFFCC99"/>
        <bgColor indexed="64"/>
      </patternFill>
    </fill>
    <fill>
      <patternFill patternType="solid">
        <fgColor indexed="43"/>
        <bgColor indexed="64"/>
      </patternFill>
    </fill>
    <fill>
      <patternFill patternType="solid">
        <fgColor indexed="42"/>
      </patternFill>
    </fill>
    <fill>
      <patternFill patternType="solid">
        <fgColor indexed="15"/>
        <bgColor indexed="64"/>
      </patternFill>
    </fill>
    <fill>
      <patternFill patternType="solid">
        <fgColor rgb="FF00FFFF"/>
        <bgColor indexed="64"/>
      </patternFill>
    </fill>
    <fill>
      <patternFill patternType="solid">
        <fgColor indexed="44"/>
      </patternFill>
    </fill>
    <fill>
      <patternFill patternType="solid">
        <fgColor rgb="FF99CCFF"/>
        <bgColor rgb="FF99CCFF"/>
      </patternFill>
    </fill>
    <fill>
      <patternFill patternType="solid">
        <fgColor rgb="FF99CCFF"/>
        <bgColor indexed="64"/>
      </patternFill>
    </fill>
    <fill>
      <patternFill patternType="solid">
        <fgColor rgb="FFFF99CC"/>
        <bgColor rgb="FFFF99CC"/>
      </patternFill>
    </fill>
    <fill>
      <patternFill patternType="solid">
        <fgColor indexed="51"/>
      </patternFill>
    </fill>
    <fill>
      <patternFill patternType="solid">
        <fgColor rgb="FFFFCC00"/>
        <bgColor indexed="64"/>
      </patternFill>
    </fill>
    <fill>
      <patternFill patternType="solid">
        <fgColor rgb="FFFFFF99"/>
        <bgColor indexed="64"/>
      </patternFill>
    </fill>
    <fill>
      <patternFill patternType="solid">
        <fgColor rgb="FFCCFFCC"/>
        <bgColor indexed="64"/>
      </patternFill>
    </fill>
    <fill>
      <patternFill patternType="solid">
        <fgColor indexed="15"/>
        <bgColor indexed="42"/>
      </patternFill>
    </fill>
    <fill>
      <patternFill patternType="solid">
        <fgColor indexed="46"/>
      </patternFill>
    </fill>
    <fill>
      <patternFill patternType="solid">
        <fgColor rgb="FF99CCFF"/>
      </patternFill>
    </fill>
    <fill>
      <patternFill patternType="solid">
        <fgColor indexed="45"/>
        <bgColor indexed="42"/>
      </patternFill>
    </fill>
    <fill>
      <patternFill patternType="solid">
        <fgColor rgb="FFCC99FF"/>
        <bgColor indexed="64"/>
      </patternFill>
    </fill>
    <fill>
      <patternFill patternType="solid">
        <fgColor rgb="FFCC99FF"/>
        <bgColor rgb="FFCC99FF"/>
      </patternFill>
    </fill>
    <fill>
      <patternFill patternType="solid">
        <fgColor rgb="FF00B0F0"/>
        <bgColor indexed="64"/>
      </patternFill>
    </fill>
    <fill>
      <patternFill patternType="solid">
        <fgColor indexed="11"/>
      </patternFill>
    </fill>
    <fill>
      <patternFill patternType="solid">
        <fgColor rgb="FFFF99CC"/>
        <bgColor rgb="FF000000"/>
      </patternFill>
    </fill>
    <fill>
      <patternFill patternType="solid">
        <fgColor rgb="FFFFC8C8"/>
        <bgColor rgb="FFFFC8C8"/>
      </patternFill>
    </fill>
    <fill>
      <patternFill patternType="solid">
        <fgColor rgb="FFFF0000"/>
        <bgColor rgb="FFFF0000"/>
      </patternFill>
    </fill>
    <fill>
      <patternFill patternType="solid">
        <fgColor rgb="FFFFCC00"/>
        <bgColor rgb="FFFFCC00"/>
      </patternFill>
    </fill>
  </fills>
  <borders count="79">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double">
        <color auto="1"/>
      </bottom>
      <diagonal/>
    </border>
    <border>
      <left/>
      <right/>
      <top/>
      <bottom style="double">
        <color auto="1"/>
      </bottom>
      <diagonal/>
    </border>
    <border>
      <left style="medium">
        <color auto="1"/>
      </left>
      <right/>
      <top/>
      <bottom/>
      <diagonal/>
    </border>
    <border>
      <left style="double">
        <color auto="1"/>
      </left>
      <right style="thin">
        <color auto="1"/>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65"/>
      </left>
      <right style="thin">
        <color indexed="64"/>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64"/>
      </left>
      <right/>
      <top style="thin">
        <color indexed="64"/>
      </top>
      <bottom/>
      <diagonal/>
    </border>
    <border>
      <left style="thin">
        <color indexed="8"/>
      </left>
      <right style="thin">
        <color indexed="8"/>
      </right>
      <top style="thin">
        <color indexed="65"/>
      </top>
      <bottom style="thin">
        <color indexed="64"/>
      </bottom>
      <diagonal/>
    </border>
    <border>
      <left style="thin">
        <color indexed="8"/>
      </left>
      <right/>
      <top style="thin">
        <color indexed="65"/>
      </top>
      <bottom style="thin">
        <color indexed="64"/>
      </bottom>
      <diagonal/>
    </border>
    <border>
      <left style="thin">
        <color indexed="64"/>
      </left>
      <right/>
      <top style="thin">
        <color indexed="8"/>
      </top>
      <bottom/>
      <diagonal/>
    </border>
    <border>
      <left style="thin">
        <color indexed="8"/>
      </left>
      <right/>
      <top/>
      <bottom/>
      <diagonal/>
    </border>
    <border>
      <left style="thin">
        <color indexed="64"/>
      </left>
      <right/>
      <top/>
      <bottom/>
      <diagonal/>
    </border>
    <border>
      <left style="thin">
        <color indexed="8"/>
      </left>
      <right/>
      <top/>
      <bottom style="thin">
        <color indexed="64"/>
      </bottom>
      <diagonal/>
    </border>
    <border>
      <left style="thin">
        <color indexed="64"/>
      </left>
      <right/>
      <top/>
      <bottom style="thin">
        <color indexed="64"/>
      </bottom>
      <diagonal/>
    </border>
    <border>
      <left style="thin">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style="thin">
        <color indexed="8"/>
      </left>
      <right/>
      <top/>
      <bottom style="medium">
        <color indexed="8"/>
      </bottom>
      <diagonal/>
    </border>
    <border>
      <left/>
      <right/>
      <top/>
      <bottom style="medium">
        <color indexed="8"/>
      </bottom>
      <diagonal/>
    </border>
    <border>
      <left style="thin">
        <color indexed="64"/>
      </left>
      <right/>
      <top/>
      <bottom style="medium">
        <color indexed="8"/>
      </bottom>
      <diagonal/>
    </border>
    <border>
      <left style="thin">
        <color indexed="65"/>
      </left>
      <right style="thin">
        <color indexed="8"/>
      </right>
      <top style="thin">
        <color indexed="8"/>
      </top>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bottom/>
      <diagonal/>
    </border>
    <border>
      <left/>
      <right/>
      <top style="thin">
        <color indexed="65"/>
      </top>
      <bottom/>
      <diagonal/>
    </border>
    <border>
      <left style="thin">
        <color indexed="8"/>
      </left>
      <right style="thin">
        <color indexed="8"/>
      </right>
      <top/>
      <bottom style="thin">
        <color indexed="64"/>
      </bottom>
      <diagonal/>
    </border>
    <border>
      <left/>
      <right style="thin">
        <color indexed="8"/>
      </right>
      <top/>
      <bottom/>
      <diagonal/>
    </border>
    <border>
      <left/>
      <right style="thin">
        <color indexed="8"/>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double">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rgb="FF999999"/>
      </left>
      <right/>
      <top style="thin">
        <color indexed="8"/>
      </top>
      <bottom/>
      <diagonal/>
    </border>
    <border>
      <left style="thin">
        <color rgb="FF999999"/>
      </left>
      <right/>
      <top/>
      <bottom style="thin">
        <color indexed="64"/>
      </bottom>
      <diagonal/>
    </border>
    <border>
      <left style="thin">
        <color rgb="FF999999"/>
      </left>
      <right style="thin">
        <color rgb="FF999999"/>
      </right>
      <top/>
      <bottom style="thin">
        <color indexed="64"/>
      </bottom>
      <diagonal/>
    </border>
    <border>
      <left/>
      <right/>
      <top style="thin">
        <color indexed="65"/>
      </top>
      <bottom style="thin">
        <color indexed="64"/>
      </bottom>
      <diagonal/>
    </border>
    <border>
      <left/>
      <right/>
      <top style="thin">
        <color indexed="65"/>
      </top>
      <bottom style="thin">
        <color indexed="8"/>
      </bottom>
      <diagonal/>
    </border>
    <border>
      <left style="thin">
        <color rgb="FF999999"/>
      </left>
      <right/>
      <top style="thin">
        <color rgb="FF999999"/>
      </top>
      <bottom style="thin">
        <color indexed="64"/>
      </bottom>
      <diagonal/>
    </border>
  </borders>
  <cellStyleXfs count="13">
    <xf numFmtId="164" fontId="0" fillId="0" borderId="0"/>
    <xf numFmtId="37" fontId="2" fillId="7" borderId="10"/>
    <xf numFmtId="37" fontId="2" fillId="7" borderId="10">
      <protection locked="0"/>
    </xf>
    <xf numFmtId="37" fontId="2" fillId="0" borderId="10">
      <alignment horizontal="center" vertical="top"/>
      <protection locked="0"/>
    </xf>
    <xf numFmtId="9" fontId="9" fillId="5" borderId="10">
      <alignment horizontal="right"/>
    </xf>
    <xf numFmtId="9" fontId="9" fillId="6" borderId="10">
      <alignment horizontal="right"/>
    </xf>
    <xf numFmtId="38" fontId="9" fillId="5" borderId="10">
      <alignment horizontal="right"/>
    </xf>
    <xf numFmtId="38" fontId="9" fillId="6" borderId="10">
      <alignment horizontal="right"/>
    </xf>
    <xf numFmtId="0" fontId="1" fillId="0" borderId="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35" fillId="38" borderId="0" applyNumberFormat="0" applyBorder="0" applyAlignment="0" applyProtection="0"/>
  </cellStyleXfs>
  <cellXfs count="534">
    <xf numFmtId="164" fontId="0" fillId="0" borderId="0" xfId="0"/>
    <xf numFmtId="49" fontId="4" fillId="19" borderId="0" xfId="0" applyNumberFormat="1" applyFont="1" applyFill="1" applyAlignment="1" applyProtection="1">
      <alignment horizontal="left"/>
      <protection locked="0"/>
    </xf>
    <xf numFmtId="49" fontId="2" fillId="19" borderId="0" xfId="0" applyNumberFormat="1" applyFont="1" applyFill="1" applyAlignment="1" applyProtection="1">
      <alignment horizontal="left"/>
      <protection locked="0"/>
    </xf>
    <xf numFmtId="49" fontId="2" fillId="19" borderId="0" xfId="0" applyNumberFormat="1" applyFont="1" applyFill="1" applyAlignment="1" applyProtection="1">
      <alignment horizontal="center"/>
      <protection locked="0"/>
    </xf>
    <xf numFmtId="1" fontId="8" fillId="18" borderId="0" xfId="0" applyNumberFormat="1" applyFont="1" applyFill="1" applyAlignment="1" applyProtection="1">
      <alignment horizontal="center"/>
      <protection locked="0"/>
    </xf>
    <xf numFmtId="164" fontId="8" fillId="17" borderId="0" xfId="0" applyFont="1" applyFill="1" applyAlignment="1" applyProtection="1">
      <alignment horizontal="left"/>
      <protection locked="0"/>
    </xf>
    <xf numFmtId="49" fontId="8" fillId="17" borderId="0" xfId="0" applyNumberFormat="1" applyFont="1" applyFill="1" applyAlignment="1" applyProtection="1">
      <alignment horizontal="left"/>
      <protection locked="0"/>
    </xf>
    <xf numFmtId="49" fontId="4" fillId="17" borderId="0" xfId="0" applyNumberFormat="1" applyFont="1" applyFill="1" applyAlignment="1" applyProtection="1">
      <alignment horizontal="left"/>
      <protection locked="0"/>
    </xf>
    <xf numFmtId="49" fontId="2" fillId="16" borderId="0" xfId="0" applyNumberFormat="1" applyFont="1" applyFill="1" applyAlignment="1" applyProtection="1">
      <alignment horizontal="left"/>
      <protection locked="0"/>
    </xf>
    <xf numFmtId="164" fontId="2" fillId="16" borderId="0" xfId="0" applyFont="1" applyFill="1" applyAlignment="1" applyProtection="1">
      <alignment horizontal="left"/>
      <protection locked="0"/>
    </xf>
    <xf numFmtId="1" fontId="14" fillId="15" borderId="0" xfId="0" applyNumberFormat="1" applyFont="1" applyFill="1" applyAlignment="1" applyProtection="1">
      <alignment horizontal="center"/>
      <protection locked="0"/>
    </xf>
    <xf numFmtId="1" fontId="2" fillId="15" borderId="0" xfId="0" applyNumberFormat="1" applyFont="1" applyFill="1" applyAlignment="1" applyProtection="1">
      <alignment horizontal="center"/>
      <protection locked="0"/>
    </xf>
    <xf numFmtId="49" fontId="2" fillId="15" borderId="5" xfId="0" applyNumberFormat="1" applyFont="1" applyFill="1" applyBorder="1" applyAlignment="1" applyProtection="1">
      <alignment horizontal="center"/>
      <protection locked="0"/>
    </xf>
    <xf numFmtId="3" fontId="4" fillId="14" borderId="0" xfId="0" applyNumberFormat="1" applyFont="1" applyFill="1" applyAlignment="1" applyProtection="1">
      <alignment horizontal="left"/>
      <protection locked="0"/>
    </xf>
    <xf numFmtId="49" fontId="4" fillId="14" borderId="0" xfId="0" applyNumberFormat="1" applyFont="1" applyFill="1" applyAlignment="1" applyProtection="1">
      <alignment horizontal="left"/>
      <protection locked="0"/>
    </xf>
    <xf numFmtId="164" fontId="4" fillId="0" borderId="9" xfId="0" applyFont="1" applyBorder="1" applyAlignment="1">
      <alignment horizontal="center" wrapText="1"/>
    </xf>
    <xf numFmtId="164" fontId="5" fillId="0" borderId="8" xfId="0" applyFont="1" applyBorder="1" applyAlignment="1">
      <alignment horizontal="centerContinuous" wrapText="1"/>
    </xf>
    <xf numFmtId="164" fontId="11" fillId="0" borderId="8" xfId="0" applyFont="1" applyBorder="1" applyAlignment="1">
      <alignment horizontal="centerContinuous" wrapText="1"/>
    </xf>
    <xf numFmtId="164" fontId="5" fillId="0" borderId="4" xfId="0" applyFont="1" applyBorder="1" applyAlignment="1">
      <alignment horizontal="centerContinuous" wrapText="1"/>
    </xf>
    <xf numFmtId="164" fontId="5" fillId="0" borderId="9" xfId="0" applyFont="1" applyBorder="1" applyAlignment="1">
      <alignment horizontal="centerContinuous" wrapText="1"/>
    </xf>
    <xf numFmtId="164" fontId="2" fillId="0" borderId="11" xfId="0" applyFont="1" applyBorder="1"/>
    <xf numFmtId="164" fontId="5" fillId="0" borderId="6" xfId="0" applyFont="1" applyBorder="1" applyAlignment="1">
      <alignment horizontal="centerContinuous"/>
    </xf>
    <xf numFmtId="164" fontId="2" fillId="0" borderId="5" xfId="0" applyFont="1" applyBorder="1"/>
    <xf numFmtId="164" fontId="7" fillId="0" borderId="3" xfId="0" applyFont="1" applyBorder="1" applyAlignment="1">
      <alignment horizontal="centerContinuous"/>
    </xf>
    <xf numFmtId="164" fontId="6" fillId="0" borderId="2" xfId="0" applyFont="1" applyBorder="1" applyAlignment="1">
      <alignment horizontal="centerContinuous"/>
    </xf>
    <xf numFmtId="164" fontId="5" fillId="0" borderId="2" xfId="0" applyFont="1" applyBorder="1" applyAlignment="1">
      <alignment horizontal="centerContinuous"/>
    </xf>
    <xf numFmtId="164" fontId="6" fillId="0" borderId="8" xfId="0" applyFont="1" applyBorder="1" applyAlignment="1">
      <alignment horizontal="centerContinuous"/>
    </xf>
    <xf numFmtId="0" fontId="0" fillId="0" borderId="0" xfId="0" applyNumberFormat="1"/>
    <xf numFmtId="164" fontId="2" fillId="0" borderId="0" xfId="0" applyFont="1"/>
    <xf numFmtId="0" fontId="12" fillId="4" borderId="13" xfId="0" applyNumberFormat="1" applyFont="1" applyFill="1" applyBorder="1" applyAlignment="1">
      <alignment horizontal="left"/>
    </xf>
    <xf numFmtId="164" fontId="2" fillId="0" borderId="0" xfId="0" applyFont="1" applyAlignment="1">
      <alignment horizontal="centerContinuous"/>
    </xf>
    <xf numFmtId="49" fontId="2" fillId="8" borderId="0" xfId="0" applyNumberFormat="1" applyFont="1" applyFill="1" applyAlignment="1" applyProtection="1">
      <alignment horizontal="center"/>
      <protection locked="0"/>
    </xf>
    <xf numFmtId="49" fontId="2" fillId="8" borderId="0" xfId="0" applyNumberFormat="1" applyFont="1" applyFill="1" applyAlignment="1" applyProtection="1">
      <alignment horizontal="left"/>
      <protection locked="0"/>
    </xf>
    <xf numFmtId="1" fontId="2" fillId="8" borderId="0" xfId="0" applyNumberFormat="1" applyFont="1" applyFill="1" applyAlignment="1" applyProtection="1">
      <alignment horizontal="center"/>
      <protection locked="0"/>
    </xf>
    <xf numFmtId="3" fontId="9" fillId="5" borderId="14" xfId="0" applyNumberFormat="1" applyFont="1" applyFill="1" applyBorder="1"/>
    <xf numFmtId="3" fontId="11" fillId="6" borderId="5" xfId="0" applyNumberFormat="1" applyFont="1" applyFill="1" applyBorder="1"/>
    <xf numFmtId="3" fontId="9" fillId="5" borderId="15" xfId="0" applyNumberFormat="1" applyFont="1" applyFill="1" applyBorder="1"/>
    <xf numFmtId="165" fontId="4" fillId="0" borderId="0" xfId="0" applyNumberFormat="1" applyFont="1" applyAlignment="1">
      <alignment horizontal="left" vertical="top"/>
    </xf>
    <xf numFmtId="164" fontId="4" fillId="0" borderId="0" xfId="0" applyFont="1" applyAlignment="1">
      <alignment horizontal="left" vertical="top"/>
    </xf>
    <xf numFmtId="3" fontId="5" fillId="2" borderId="3" xfId="0" applyNumberFormat="1" applyFont="1" applyFill="1" applyBorder="1" applyAlignment="1">
      <alignment horizontal="centerContinuous"/>
    </xf>
    <xf numFmtId="3" fontId="3" fillId="2" borderId="4" xfId="0" applyNumberFormat="1" applyFont="1" applyFill="1" applyBorder="1" applyAlignment="1">
      <alignment horizontal="centerContinuous"/>
    </xf>
    <xf numFmtId="49" fontId="4" fillId="9" borderId="5" xfId="0" applyNumberFormat="1" applyFont="1" applyFill="1" applyBorder="1" applyAlignment="1">
      <alignment horizontal="left" vertical="top"/>
    </xf>
    <xf numFmtId="49" fontId="4" fillId="9" borderId="0" xfId="0" applyNumberFormat="1" applyFont="1" applyFill="1" applyAlignment="1">
      <alignment horizontal="left" vertical="top"/>
    </xf>
    <xf numFmtId="49" fontId="10" fillId="4" borderId="12" xfId="0" applyNumberFormat="1" applyFont="1" applyFill="1" applyBorder="1" applyAlignment="1">
      <alignment horizontal="center"/>
    </xf>
    <xf numFmtId="49" fontId="10" fillId="4" borderId="13" xfId="0" applyNumberFormat="1" applyFont="1" applyFill="1" applyBorder="1" applyAlignment="1">
      <alignment horizontal="left"/>
    </xf>
    <xf numFmtId="0" fontId="10" fillId="4" borderId="13" xfId="0" applyNumberFormat="1" applyFont="1" applyFill="1" applyBorder="1" applyAlignment="1">
      <alignment horizontal="left" wrapText="1"/>
    </xf>
    <xf numFmtId="1" fontId="10" fillId="4" borderId="13" xfId="0" applyNumberFormat="1" applyFont="1" applyFill="1" applyBorder="1" applyAlignment="1">
      <alignment horizontal="center"/>
    </xf>
    <xf numFmtId="49" fontId="2" fillId="3" borderId="0" xfId="0" applyNumberFormat="1" applyFont="1" applyFill="1" applyAlignment="1">
      <alignment horizontal="center"/>
    </xf>
    <xf numFmtId="49" fontId="2" fillId="3" borderId="0" xfId="0" applyNumberFormat="1" applyFont="1" applyFill="1" applyAlignment="1">
      <alignment horizontal="left"/>
    </xf>
    <xf numFmtId="164" fontId="2" fillId="3" borderId="0" xfId="0" applyFont="1" applyFill="1" applyAlignment="1">
      <alignment horizontal="center" wrapText="1"/>
    </xf>
    <xf numFmtId="49" fontId="14" fillId="10" borderId="0" xfId="0" applyNumberFormat="1" applyFont="1" applyFill="1" applyAlignment="1" applyProtection="1">
      <alignment horizontal="center"/>
      <protection locked="0"/>
    </xf>
    <xf numFmtId="1" fontId="14" fillId="10" borderId="0" xfId="0" applyNumberFormat="1" applyFont="1" applyFill="1" applyAlignment="1" applyProtection="1">
      <alignment horizontal="center"/>
      <protection locked="0"/>
    </xf>
    <xf numFmtId="49" fontId="4" fillId="11" borderId="0" xfId="0" applyNumberFormat="1" applyFont="1" applyFill="1" applyAlignment="1" applyProtection="1">
      <alignment horizontal="left"/>
      <protection locked="0"/>
    </xf>
    <xf numFmtId="49" fontId="8" fillId="11" borderId="0" xfId="0" applyNumberFormat="1" applyFont="1" applyFill="1" applyAlignment="1" applyProtection="1">
      <alignment horizontal="left"/>
      <protection locked="0"/>
    </xf>
    <xf numFmtId="3" fontId="2" fillId="10" borderId="0" xfId="0" applyNumberFormat="1" applyFont="1" applyFill="1" applyAlignment="1" applyProtection="1">
      <alignment horizontal="left"/>
      <protection locked="0"/>
    </xf>
    <xf numFmtId="1" fontId="2" fillId="10" borderId="0" xfId="0" applyNumberFormat="1" applyFont="1" applyFill="1" applyAlignment="1" applyProtection="1">
      <alignment horizontal="center"/>
      <protection locked="0"/>
    </xf>
    <xf numFmtId="164" fontId="2" fillId="0" borderId="0" xfId="0" applyFont="1" applyAlignment="1">
      <alignment horizontal="left"/>
    </xf>
    <xf numFmtId="49" fontId="2" fillId="0" borderId="0" xfId="0" applyNumberFormat="1" applyFont="1" applyAlignment="1">
      <alignment horizontal="center"/>
    </xf>
    <xf numFmtId="49" fontId="2" fillId="0" borderId="0" xfId="0" applyNumberFormat="1" applyFont="1" applyAlignment="1">
      <alignment horizontal="left"/>
    </xf>
    <xf numFmtId="164" fontId="5" fillId="0" borderId="0" xfId="0" applyFont="1"/>
    <xf numFmtId="164" fontId="6" fillId="0" borderId="0" xfId="0" applyFont="1"/>
    <xf numFmtId="164" fontId="4" fillId="0" borderId="0" xfId="0" applyFont="1"/>
    <xf numFmtId="1" fontId="2" fillId="19" borderId="0" xfId="0" applyNumberFormat="1" applyFont="1" applyFill="1" applyAlignment="1" applyProtection="1">
      <alignment horizontal="center"/>
      <protection locked="0"/>
    </xf>
    <xf numFmtId="49" fontId="2" fillId="19" borderId="5" xfId="0" applyNumberFormat="1" applyFont="1" applyFill="1" applyBorder="1" applyAlignment="1" applyProtection="1">
      <alignment horizontal="center"/>
      <protection locked="0"/>
    </xf>
    <xf numFmtId="49" fontId="8" fillId="19" borderId="0" xfId="0" applyNumberFormat="1" applyFont="1" applyFill="1" applyAlignment="1" applyProtection="1">
      <alignment horizontal="left"/>
      <protection locked="0"/>
    </xf>
    <xf numFmtId="0" fontId="2" fillId="19" borderId="0" xfId="0" applyNumberFormat="1" applyFont="1" applyFill="1" applyAlignment="1" applyProtection="1">
      <alignment horizontal="left"/>
      <protection locked="0"/>
    </xf>
    <xf numFmtId="0" fontId="4" fillId="19" borderId="0" xfId="0" applyNumberFormat="1" applyFont="1" applyFill="1" applyAlignment="1" applyProtection="1">
      <alignment horizontal="left"/>
      <protection locked="0"/>
    </xf>
    <xf numFmtId="49" fontId="2" fillId="20" borderId="5" xfId="0" applyNumberFormat="1" applyFont="1" applyFill="1" applyBorder="1" applyAlignment="1" applyProtection="1">
      <alignment horizontal="center"/>
      <protection locked="0"/>
    </xf>
    <xf numFmtId="49" fontId="2" fillId="20" borderId="0" xfId="0" applyNumberFormat="1" applyFont="1" applyFill="1" applyAlignment="1" applyProtection="1">
      <alignment horizontal="left"/>
      <protection locked="0"/>
    </xf>
    <xf numFmtId="49" fontId="4" fillId="20" borderId="0" xfId="0" applyNumberFormat="1" applyFont="1" applyFill="1" applyAlignment="1" applyProtection="1">
      <alignment horizontal="left"/>
      <protection locked="0"/>
    </xf>
    <xf numFmtId="1" fontId="2" fillId="20" borderId="0" xfId="0" applyNumberFormat="1" applyFont="1" applyFill="1" applyAlignment="1" applyProtection="1">
      <alignment horizontal="center"/>
      <protection locked="0"/>
    </xf>
    <xf numFmtId="49" fontId="2" fillId="21" borderId="0" xfId="0" applyNumberFormat="1" applyFont="1" applyFill="1" applyAlignment="1" applyProtection="1">
      <alignment horizontal="center"/>
      <protection locked="0"/>
    </xf>
    <xf numFmtId="49" fontId="2" fillId="21" borderId="0" xfId="0" applyNumberFormat="1" applyFont="1" applyFill="1" applyAlignment="1" applyProtection="1">
      <alignment horizontal="left"/>
      <protection locked="0"/>
    </xf>
    <xf numFmtId="49" fontId="4" fillId="21" borderId="0" xfId="0" applyNumberFormat="1" applyFont="1" applyFill="1" applyAlignment="1" applyProtection="1">
      <alignment horizontal="left"/>
      <protection locked="0"/>
    </xf>
    <xf numFmtId="1" fontId="2" fillId="21" borderId="0" xfId="0" applyNumberFormat="1" applyFont="1" applyFill="1" applyAlignment="1" applyProtection="1">
      <alignment horizontal="center"/>
      <protection locked="0"/>
    </xf>
    <xf numFmtId="3" fontId="8" fillId="21" borderId="0" xfId="0" applyNumberFormat="1" applyFont="1" applyFill="1" applyAlignment="1" applyProtection="1">
      <alignment horizontal="left"/>
      <protection locked="0"/>
    </xf>
    <xf numFmtId="49" fontId="8" fillId="21" borderId="0" xfId="0" applyNumberFormat="1" applyFont="1" applyFill="1" applyAlignment="1" applyProtection="1">
      <alignment horizontal="left"/>
      <protection locked="0"/>
    </xf>
    <xf numFmtId="49" fontId="18" fillId="21" borderId="0" xfId="0" applyNumberFormat="1" applyFont="1" applyFill="1" applyAlignment="1" applyProtection="1">
      <alignment horizontal="left"/>
      <protection locked="0"/>
    </xf>
    <xf numFmtId="1" fontId="2" fillId="22" borderId="0" xfId="0" applyNumberFormat="1" applyFont="1" applyFill="1" applyAlignment="1" applyProtection="1">
      <alignment horizontal="center"/>
      <protection locked="0"/>
    </xf>
    <xf numFmtId="49" fontId="2" fillId="23" borderId="5" xfId="0" applyNumberFormat="1" applyFont="1" applyFill="1" applyBorder="1" applyAlignment="1" applyProtection="1">
      <alignment horizontal="center"/>
      <protection locked="0"/>
    </xf>
    <xf numFmtId="49" fontId="2" fillId="24" borderId="0" xfId="0" applyNumberFormat="1" applyFont="1" applyFill="1" applyAlignment="1" applyProtection="1">
      <alignment horizontal="left"/>
      <protection locked="0"/>
    </xf>
    <xf numFmtId="49" fontId="4" fillId="23" borderId="0" xfId="0" applyNumberFormat="1" applyFont="1" applyFill="1" applyAlignment="1" applyProtection="1">
      <alignment horizontal="left"/>
      <protection locked="0"/>
    </xf>
    <xf numFmtId="1" fontId="2" fillId="23" borderId="0" xfId="0" applyNumberFormat="1" applyFont="1" applyFill="1" applyAlignment="1" applyProtection="1">
      <alignment horizontal="center"/>
      <protection locked="0"/>
    </xf>
    <xf numFmtId="49" fontId="2" fillId="23" borderId="0" xfId="0" applyNumberFormat="1" applyFont="1" applyFill="1" applyAlignment="1" applyProtection="1">
      <alignment horizontal="left"/>
      <protection locked="0"/>
    </xf>
    <xf numFmtId="49" fontId="8" fillId="23" borderId="0" xfId="0" applyNumberFormat="1" applyFont="1" applyFill="1" applyAlignment="1" applyProtection="1">
      <alignment horizontal="left"/>
      <protection locked="0"/>
    </xf>
    <xf numFmtId="0" fontId="2" fillId="23" borderId="0" xfId="0" applyNumberFormat="1" applyFont="1" applyFill="1" applyAlignment="1" applyProtection="1">
      <alignment horizontal="center"/>
      <protection locked="0"/>
    </xf>
    <xf numFmtId="49" fontId="2" fillId="10" borderId="5" xfId="0" applyNumberFormat="1" applyFont="1" applyFill="1" applyBorder="1" applyAlignment="1" applyProtection="1">
      <alignment horizontal="center"/>
      <protection locked="0"/>
    </xf>
    <xf numFmtId="49" fontId="2" fillId="10" borderId="0" xfId="0" applyNumberFormat="1" applyFont="1" applyFill="1" applyAlignment="1" applyProtection="1">
      <alignment horizontal="left"/>
      <protection locked="0"/>
    </xf>
    <xf numFmtId="49" fontId="2" fillId="26" borderId="0" xfId="0" applyNumberFormat="1" applyFont="1" applyFill="1" applyAlignment="1" applyProtection="1">
      <alignment horizontal="left"/>
      <protection locked="0"/>
    </xf>
    <xf numFmtId="1" fontId="2" fillId="26" borderId="0" xfId="0" applyNumberFormat="1" applyFont="1" applyFill="1" applyAlignment="1" applyProtection="1">
      <alignment horizontal="center"/>
      <protection locked="0"/>
    </xf>
    <xf numFmtId="49" fontId="2" fillId="10" borderId="0" xfId="0" applyNumberFormat="1" applyFont="1" applyFill="1" applyAlignment="1" applyProtection="1">
      <alignment horizontal="center"/>
      <protection locked="0"/>
    </xf>
    <xf numFmtId="49" fontId="2" fillId="11" borderId="0" xfId="0" applyNumberFormat="1" applyFont="1" applyFill="1" applyAlignment="1" applyProtection="1">
      <alignment horizontal="left"/>
      <protection locked="0"/>
    </xf>
    <xf numFmtId="49" fontId="2" fillId="15" borderId="0" xfId="0" applyNumberFormat="1" applyFont="1" applyFill="1" applyAlignment="1" applyProtection="1">
      <alignment horizontal="center"/>
      <protection locked="0"/>
    </xf>
    <xf numFmtId="1" fontId="2" fillId="18" borderId="0" xfId="0" applyNumberFormat="1" applyFont="1" applyFill="1" applyAlignment="1" applyProtection="1">
      <alignment horizontal="center"/>
      <protection locked="0"/>
    </xf>
    <xf numFmtId="49" fontId="2" fillId="27" borderId="5" xfId="0" applyNumberFormat="1" applyFont="1" applyFill="1" applyBorder="1" applyAlignment="1" applyProtection="1">
      <alignment horizontal="center"/>
      <protection locked="0"/>
    </xf>
    <xf numFmtId="49" fontId="2" fillId="27" borderId="0" xfId="0" applyNumberFormat="1" applyFont="1" applyFill="1" applyAlignment="1" applyProtection="1">
      <alignment horizontal="left"/>
      <protection locked="0"/>
    </xf>
    <xf numFmtId="49" fontId="4" fillId="27" borderId="0" xfId="0" applyNumberFormat="1" applyFont="1" applyFill="1" applyAlignment="1" applyProtection="1">
      <alignment horizontal="left"/>
      <protection locked="0"/>
    </xf>
    <xf numFmtId="1" fontId="2" fillId="27" borderId="0" xfId="0" applyNumberFormat="1" applyFont="1" applyFill="1" applyAlignment="1" applyProtection="1">
      <alignment horizontal="center"/>
      <protection locked="0"/>
    </xf>
    <xf numFmtId="49" fontId="2" fillId="27" borderId="0" xfId="0" applyNumberFormat="1" applyFont="1" applyFill="1" applyAlignment="1" applyProtection="1">
      <alignment horizontal="center"/>
      <protection locked="0"/>
    </xf>
    <xf numFmtId="49" fontId="8" fillId="27" borderId="0" xfId="0" applyNumberFormat="1" applyFont="1" applyFill="1" applyAlignment="1" applyProtection="1">
      <alignment horizontal="left"/>
      <protection locked="0"/>
    </xf>
    <xf numFmtId="3" fontId="2" fillId="27" borderId="0" xfId="0" applyNumberFormat="1" applyFont="1" applyFill="1" applyAlignment="1" applyProtection="1">
      <alignment horizontal="left"/>
      <protection locked="0"/>
    </xf>
    <xf numFmtId="3" fontId="4" fillId="27" borderId="0" xfId="0" applyNumberFormat="1" applyFont="1" applyFill="1" applyAlignment="1" applyProtection="1">
      <alignment horizontal="left"/>
      <protection locked="0"/>
    </xf>
    <xf numFmtId="1" fontId="2" fillId="28" borderId="0" xfId="0" applyNumberFormat="1" applyFont="1" applyFill="1" applyAlignment="1" applyProtection="1">
      <alignment horizontal="center"/>
      <protection locked="0"/>
    </xf>
    <xf numFmtId="49" fontId="2" fillId="28" borderId="0" xfId="0" applyNumberFormat="1" applyFont="1" applyFill="1" applyAlignment="1" applyProtection="1">
      <alignment horizontal="left"/>
      <protection locked="0"/>
    </xf>
    <xf numFmtId="49" fontId="4" fillId="28" borderId="0" xfId="0" applyNumberFormat="1" applyFont="1" applyFill="1" applyAlignment="1" applyProtection="1">
      <alignment horizontal="left"/>
      <protection locked="0"/>
    </xf>
    <xf numFmtId="164" fontId="19" fillId="29" borderId="0" xfId="0" applyFont="1" applyFill="1" applyAlignment="1" applyProtection="1">
      <alignment horizontal="left"/>
      <protection locked="0"/>
    </xf>
    <xf numFmtId="164" fontId="2" fillId="19" borderId="0" xfId="0" applyFont="1" applyFill="1" applyAlignment="1" applyProtection="1">
      <alignment horizontal="left"/>
      <protection locked="0"/>
    </xf>
    <xf numFmtId="49" fontId="2" fillId="20" borderId="0" xfId="0" applyNumberFormat="1" applyFont="1" applyFill="1" applyAlignment="1" applyProtection="1">
      <alignment horizontal="center"/>
      <protection locked="0"/>
    </xf>
    <xf numFmtId="164" fontId="19" fillId="30" borderId="0" xfId="0" applyFont="1" applyFill="1" applyAlignment="1" applyProtection="1">
      <alignment horizontal="left"/>
      <protection locked="0"/>
    </xf>
    <xf numFmtId="49" fontId="2" fillId="21" borderId="5" xfId="0" applyNumberFormat="1" applyFont="1" applyFill="1" applyBorder="1" applyAlignment="1" applyProtection="1">
      <alignment horizontal="center"/>
      <protection locked="0"/>
    </xf>
    <xf numFmtId="0" fontId="2" fillId="21" borderId="0" xfId="0" applyNumberFormat="1" applyFont="1" applyFill="1" applyAlignment="1" applyProtection="1">
      <alignment horizontal="center"/>
      <protection locked="0"/>
    </xf>
    <xf numFmtId="1" fontId="2" fillId="31" borderId="0" xfId="0" applyNumberFormat="1" applyFont="1" applyFill="1" applyAlignment="1" applyProtection="1">
      <alignment horizontal="center"/>
      <protection locked="0"/>
    </xf>
    <xf numFmtId="49" fontId="2" fillId="32" borderId="5" xfId="0" applyNumberFormat="1" applyFont="1" applyFill="1" applyBorder="1" applyAlignment="1" applyProtection="1">
      <alignment horizontal="center"/>
      <protection locked="0"/>
    </xf>
    <xf numFmtId="49" fontId="2" fillId="32" borderId="0" xfId="0" applyNumberFormat="1" applyFont="1" applyFill="1" applyAlignment="1" applyProtection="1">
      <alignment horizontal="left"/>
      <protection locked="0"/>
    </xf>
    <xf numFmtId="49" fontId="4" fillId="32" borderId="0" xfId="0" applyNumberFormat="1" applyFont="1" applyFill="1" applyAlignment="1" applyProtection="1">
      <alignment horizontal="left"/>
      <protection locked="0"/>
    </xf>
    <xf numFmtId="1" fontId="2" fillId="32" borderId="0" xfId="0" applyNumberFormat="1" applyFont="1" applyFill="1" applyAlignment="1" applyProtection="1">
      <alignment horizontal="center"/>
      <protection locked="0"/>
    </xf>
    <xf numFmtId="49" fontId="8" fillId="32" borderId="0" xfId="0" applyNumberFormat="1" applyFont="1" applyFill="1" applyAlignment="1" applyProtection="1">
      <alignment horizontal="left"/>
      <protection locked="0"/>
    </xf>
    <xf numFmtId="3" fontId="2" fillId="23" borderId="0" xfId="0" applyNumberFormat="1" applyFont="1" applyFill="1" applyAlignment="1" applyProtection="1">
      <alignment horizontal="left"/>
      <protection locked="0"/>
    </xf>
    <xf numFmtId="3" fontId="4" fillId="23" borderId="0" xfId="0" applyNumberFormat="1" applyFont="1" applyFill="1" applyAlignment="1" applyProtection="1">
      <alignment horizontal="left"/>
      <protection locked="0"/>
    </xf>
    <xf numFmtId="49" fontId="4" fillId="33" borderId="0" xfId="0" applyNumberFormat="1" applyFont="1" applyFill="1" applyAlignment="1" applyProtection="1">
      <alignment horizontal="left"/>
      <protection locked="0"/>
    </xf>
    <xf numFmtId="49" fontId="8" fillId="33" borderId="0" xfId="0" applyNumberFormat="1" applyFont="1" applyFill="1" applyAlignment="1" applyProtection="1">
      <alignment horizontal="left"/>
      <protection locked="0"/>
    </xf>
    <xf numFmtId="49" fontId="4" fillId="10" borderId="0" xfId="0" applyNumberFormat="1" applyFont="1" applyFill="1" applyAlignment="1" applyProtection="1">
      <alignment horizontal="left"/>
      <protection locked="0"/>
    </xf>
    <xf numFmtId="49" fontId="2" fillId="26" borderId="0" xfId="0" applyNumberFormat="1" applyFont="1" applyFill="1" applyAlignment="1" applyProtection="1">
      <alignment horizontal="center"/>
      <protection locked="0"/>
    </xf>
    <xf numFmtId="49" fontId="8" fillId="10" borderId="0" xfId="0" applyNumberFormat="1" applyFont="1" applyFill="1" applyAlignment="1" applyProtection="1">
      <alignment horizontal="left"/>
      <protection locked="0"/>
    </xf>
    <xf numFmtId="1" fontId="2" fillId="34" borderId="0" xfId="0" applyNumberFormat="1" applyFont="1" applyFill="1" applyAlignment="1" applyProtection="1">
      <alignment horizontal="center"/>
      <protection locked="0"/>
    </xf>
    <xf numFmtId="49" fontId="8" fillId="14" borderId="0" xfId="0" applyNumberFormat="1" applyFont="1" applyFill="1" applyAlignment="1" applyProtection="1">
      <alignment horizontal="left"/>
      <protection locked="0"/>
    </xf>
    <xf numFmtId="49" fontId="14" fillId="27" borderId="0" xfId="0" applyNumberFormat="1" applyFont="1" applyFill="1" applyAlignment="1" applyProtection="1">
      <alignment horizontal="center"/>
      <protection locked="0"/>
    </xf>
    <xf numFmtId="1" fontId="14" fillId="27" borderId="0" xfId="0" applyNumberFormat="1" applyFont="1" applyFill="1" applyAlignment="1" applyProtection="1">
      <alignment horizontal="center"/>
      <protection locked="0"/>
    </xf>
    <xf numFmtId="164" fontId="20" fillId="28" borderId="0" xfId="0" applyFont="1" applyFill="1" applyAlignment="1" applyProtection="1">
      <alignment horizontal="left"/>
      <protection locked="0"/>
    </xf>
    <xf numFmtId="164" fontId="19" fillId="28" borderId="0" xfId="0" applyFont="1" applyFill="1" applyAlignment="1" applyProtection="1">
      <alignment horizontal="left"/>
      <protection locked="0"/>
    </xf>
    <xf numFmtId="1" fontId="8" fillId="28" borderId="0" xfId="0" applyNumberFormat="1" applyFont="1" applyFill="1" applyAlignment="1" applyProtection="1">
      <alignment horizontal="center"/>
      <protection locked="0"/>
    </xf>
    <xf numFmtId="164" fontId="20" fillId="29" borderId="0" xfId="0" applyFont="1" applyFill="1" applyAlignment="1" applyProtection="1">
      <alignment horizontal="left"/>
      <protection locked="0"/>
    </xf>
    <xf numFmtId="1" fontId="8" fillId="20" borderId="0" xfId="0" applyNumberFormat="1" applyFont="1" applyFill="1" applyAlignment="1" applyProtection="1">
      <alignment horizontal="center"/>
      <protection locked="0"/>
    </xf>
    <xf numFmtId="49" fontId="8" fillId="20" borderId="0" xfId="0" applyNumberFormat="1" applyFont="1" applyFill="1" applyAlignment="1" applyProtection="1">
      <alignment horizontal="left"/>
      <protection locked="0"/>
    </xf>
    <xf numFmtId="164" fontId="20" fillId="22" borderId="0" xfId="0" applyFont="1" applyFill="1" applyAlignment="1" applyProtection="1">
      <alignment horizontal="left"/>
      <protection locked="0"/>
    </xf>
    <xf numFmtId="164" fontId="2" fillId="21" borderId="0" xfId="0" applyFont="1" applyFill="1" applyAlignment="1" applyProtection="1">
      <alignment horizontal="left"/>
      <protection locked="0"/>
    </xf>
    <xf numFmtId="164" fontId="19" fillId="22" borderId="0" xfId="0" applyFont="1" applyFill="1" applyAlignment="1" applyProtection="1">
      <alignment horizontal="left"/>
      <protection locked="0"/>
    </xf>
    <xf numFmtId="0" fontId="2" fillId="32" borderId="0" xfId="0" applyNumberFormat="1" applyFont="1" applyFill="1" applyAlignment="1" applyProtection="1">
      <alignment horizontal="center"/>
      <protection locked="0"/>
    </xf>
    <xf numFmtId="164" fontId="19" fillId="35" borderId="0" xfId="0" applyFont="1" applyFill="1" applyAlignment="1" applyProtection="1">
      <alignment horizontal="left"/>
      <protection locked="0"/>
    </xf>
    <xf numFmtId="164" fontId="20" fillId="35" borderId="0" xfId="0" applyFont="1" applyFill="1" applyAlignment="1" applyProtection="1">
      <alignment horizontal="left"/>
      <protection locked="0"/>
    </xf>
    <xf numFmtId="164" fontId="2" fillId="32" borderId="0" xfId="0" applyFont="1" applyFill="1" applyAlignment="1" applyProtection="1">
      <alignment horizontal="left"/>
      <protection locked="0"/>
    </xf>
    <xf numFmtId="164" fontId="4" fillId="32" borderId="0" xfId="0" applyFont="1" applyFill="1" applyAlignment="1" applyProtection="1">
      <alignment horizontal="left"/>
      <protection locked="0"/>
    </xf>
    <xf numFmtId="49" fontId="2" fillId="36" borderId="0" xfId="0" applyNumberFormat="1" applyFont="1" applyFill="1" applyAlignment="1" applyProtection="1">
      <alignment horizontal="left"/>
      <protection locked="0"/>
    </xf>
    <xf numFmtId="1" fontId="2" fillId="36" borderId="0" xfId="0" applyNumberFormat="1" applyFont="1" applyFill="1" applyAlignment="1" applyProtection="1">
      <alignment horizontal="center"/>
      <protection locked="0"/>
    </xf>
    <xf numFmtId="49" fontId="14" fillId="23" borderId="0" xfId="0" applyNumberFormat="1" applyFont="1" applyFill="1" applyAlignment="1" applyProtection="1">
      <alignment horizontal="center"/>
      <protection locked="0"/>
    </xf>
    <xf numFmtId="1" fontId="14" fillId="23" borderId="0" xfId="0" applyNumberFormat="1" applyFont="1" applyFill="1" applyAlignment="1" applyProtection="1">
      <alignment horizontal="center"/>
      <protection locked="0"/>
    </xf>
    <xf numFmtId="49" fontId="14" fillId="23" borderId="5" xfId="0" applyNumberFormat="1" applyFont="1" applyFill="1" applyBorder="1" applyAlignment="1" applyProtection="1">
      <alignment horizontal="center"/>
      <protection locked="0"/>
    </xf>
    <xf numFmtId="0" fontId="21" fillId="0" borderId="16" xfId="8" applyFont="1" applyBorder="1"/>
    <xf numFmtId="0" fontId="21" fillId="0" borderId="17" xfId="8" applyFont="1" applyBorder="1"/>
    <xf numFmtId="9" fontId="21" fillId="0" borderId="18" xfId="8" applyNumberFormat="1" applyFont="1" applyBorder="1"/>
    <xf numFmtId="9" fontId="21" fillId="0" borderId="17" xfId="8" applyNumberFormat="1" applyFont="1" applyBorder="1"/>
    <xf numFmtId="0" fontId="21" fillId="0" borderId="0" xfId="8" applyFont="1"/>
    <xf numFmtId="0" fontId="21" fillId="0" borderId="18" xfId="8" applyFont="1" applyBorder="1"/>
    <xf numFmtId="0" fontId="21" fillId="0" borderId="25" xfId="8" applyFont="1" applyBorder="1"/>
    <xf numFmtId="165" fontId="21" fillId="0" borderId="0" xfId="9" applyNumberFormat="1" applyFont="1"/>
    <xf numFmtId="165" fontId="21" fillId="0" borderId="1" xfId="9" applyNumberFormat="1" applyFont="1" applyBorder="1"/>
    <xf numFmtId="0" fontId="1" fillId="0" borderId="16" xfId="8" applyBorder="1"/>
    <xf numFmtId="0" fontId="1" fillId="0" borderId="17" xfId="8" applyBorder="1"/>
    <xf numFmtId="9" fontId="21" fillId="0" borderId="40" xfId="8" applyNumberFormat="1" applyFont="1" applyBorder="1"/>
    <xf numFmtId="0" fontId="1" fillId="0" borderId="0" xfId="8"/>
    <xf numFmtId="0" fontId="21" fillId="0" borderId="29" xfId="8" applyFont="1" applyBorder="1"/>
    <xf numFmtId="0" fontId="21" fillId="0" borderId="24" xfId="8" applyFont="1" applyBorder="1"/>
    <xf numFmtId="0" fontId="1" fillId="0" borderId="41" xfId="8" applyBorder="1"/>
    <xf numFmtId="0" fontId="21" fillId="0" borderId="41" xfId="8" applyFont="1" applyBorder="1"/>
    <xf numFmtId="0" fontId="1" fillId="0" borderId="18" xfId="8" applyBorder="1"/>
    <xf numFmtId="0" fontId="21" fillId="0" borderId="42" xfId="8" applyFont="1" applyBorder="1"/>
    <xf numFmtId="0" fontId="21" fillId="0" borderId="43" xfId="8" applyFont="1" applyBorder="1"/>
    <xf numFmtId="0" fontId="21" fillId="0" borderId="28" xfId="8" applyFont="1" applyBorder="1"/>
    <xf numFmtId="0" fontId="21" fillId="0" borderId="27" xfId="8" applyFont="1" applyBorder="1"/>
    <xf numFmtId="3" fontId="1" fillId="0" borderId="0" xfId="8" applyNumberFormat="1"/>
    <xf numFmtId="3" fontId="21" fillId="0" borderId="0" xfId="8" applyNumberFormat="1" applyFont="1"/>
    <xf numFmtId="3" fontId="21" fillId="0" borderId="30" xfId="8" applyNumberFormat="1" applyFont="1" applyBorder="1"/>
    <xf numFmtId="3" fontId="21" fillId="0" borderId="31" xfId="8" applyNumberFormat="1" applyFont="1" applyBorder="1"/>
    <xf numFmtId="3" fontId="21" fillId="0" borderId="44" xfId="8" applyNumberFormat="1" applyFont="1" applyBorder="1"/>
    <xf numFmtId="3" fontId="21" fillId="0" borderId="0" xfId="9" applyNumberFormat="1" applyFont="1"/>
    <xf numFmtId="3" fontId="1" fillId="0" borderId="45" xfId="8" applyNumberFormat="1" applyBorder="1"/>
    <xf numFmtId="3" fontId="21" fillId="0" borderId="1" xfId="8" applyNumberFormat="1" applyFont="1" applyBorder="1"/>
    <xf numFmtId="3" fontId="21" fillId="0" borderId="32" xfId="8" applyNumberFormat="1" applyFont="1" applyBorder="1"/>
    <xf numFmtId="3" fontId="21" fillId="0" borderId="33" xfId="8" applyNumberFormat="1" applyFont="1" applyBorder="1"/>
    <xf numFmtId="3" fontId="21" fillId="0" borderId="46" xfId="8" applyNumberFormat="1" applyFont="1" applyBorder="1"/>
    <xf numFmtId="3" fontId="1" fillId="0" borderId="1" xfId="8" applyNumberFormat="1" applyBorder="1"/>
    <xf numFmtId="3" fontId="21" fillId="0" borderId="47" xfId="8" applyNumberFormat="1" applyFont="1" applyBorder="1"/>
    <xf numFmtId="3" fontId="21" fillId="0" borderId="48" xfId="8" applyNumberFormat="1" applyFont="1" applyBorder="1"/>
    <xf numFmtId="3" fontId="21" fillId="0" borderId="5" xfId="8" applyNumberFormat="1" applyFont="1" applyBorder="1"/>
    <xf numFmtId="3" fontId="21" fillId="0" borderId="7" xfId="8" applyNumberFormat="1" applyFont="1" applyBorder="1"/>
    <xf numFmtId="3" fontId="21" fillId="0" borderId="0" xfId="9" applyNumberFormat="1" applyFont="1" applyAlignment="1">
      <alignment horizontal="right"/>
    </xf>
    <xf numFmtId="3" fontId="2" fillId="0" borderId="0" xfId="9" applyNumberFormat="1" applyFont="1"/>
    <xf numFmtId="3" fontId="1" fillId="0" borderId="0" xfId="9" applyNumberFormat="1"/>
    <xf numFmtId="3" fontId="23" fillId="0" borderId="0" xfId="9" applyNumberFormat="1" applyFont="1"/>
    <xf numFmtId="165" fontId="0" fillId="0" borderId="5" xfId="10" applyNumberFormat="1" applyFont="1" applyBorder="1"/>
    <xf numFmtId="165" fontId="0" fillId="0" borderId="0" xfId="10" applyNumberFormat="1" applyFont="1"/>
    <xf numFmtId="165" fontId="0" fillId="10" borderId="0" xfId="10" applyNumberFormat="1" applyFont="1" applyFill="1"/>
    <xf numFmtId="165" fontId="0" fillId="15" borderId="0" xfId="10" applyNumberFormat="1" applyFont="1" applyFill="1"/>
    <xf numFmtId="165" fontId="0" fillId="19" borderId="5" xfId="10" applyNumberFormat="1" applyFont="1" applyFill="1" applyBorder="1"/>
    <xf numFmtId="165" fontId="0" fillId="19" borderId="0" xfId="10" applyNumberFormat="1" applyFont="1" applyFill="1"/>
    <xf numFmtId="165" fontId="0" fillId="0" borderId="52" xfId="10" applyNumberFormat="1" applyFont="1" applyBorder="1"/>
    <xf numFmtId="165" fontId="0" fillId="0" borderId="50" xfId="10" applyNumberFormat="1" applyFont="1" applyBorder="1"/>
    <xf numFmtId="165" fontId="0" fillId="10" borderId="50" xfId="10" applyNumberFormat="1" applyFont="1" applyFill="1" applyBorder="1"/>
    <xf numFmtId="165" fontId="0" fillId="15" borderId="50" xfId="10" applyNumberFormat="1" applyFont="1" applyFill="1" applyBorder="1"/>
    <xf numFmtId="165" fontId="0" fillId="19" borderId="52" xfId="10" applyNumberFormat="1" applyFont="1" applyFill="1" applyBorder="1"/>
    <xf numFmtId="165" fontId="0" fillId="19" borderId="50" xfId="10" applyNumberFormat="1" applyFont="1" applyFill="1" applyBorder="1"/>
    <xf numFmtId="164" fontId="4" fillId="0" borderId="0" xfId="0" applyFont="1" applyAlignment="1">
      <alignment horizontal="left"/>
    </xf>
    <xf numFmtId="164" fontId="0" fillId="0" borderId="0" xfId="0" applyAlignment="1">
      <alignment horizontal="left"/>
    </xf>
    <xf numFmtId="164" fontId="0" fillId="10" borderId="5" xfId="0" applyFill="1" applyBorder="1"/>
    <xf numFmtId="164" fontId="0" fillId="10" borderId="0" xfId="0" applyFill="1"/>
    <xf numFmtId="164" fontId="0" fillId="15" borderId="5" xfId="0" applyFill="1" applyBorder="1"/>
    <xf numFmtId="164" fontId="0" fillId="15" borderId="0" xfId="0" applyFill="1"/>
    <xf numFmtId="164" fontId="0" fillId="19" borderId="5" xfId="0" applyFill="1" applyBorder="1"/>
    <xf numFmtId="164" fontId="0" fillId="19" borderId="0" xfId="0" applyFill="1"/>
    <xf numFmtId="164" fontId="0" fillId="10" borderId="52" xfId="0" applyFill="1" applyBorder="1" applyAlignment="1">
      <alignment horizontal="centerContinuous"/>
    </xf>
    <xf numFmtId="164" fontId="0" fillId="10" borderId="51" xfId="0" applyFill="1" applyBorder="1" applyAlignment="1">
      <alignment horizontal="centerContinuous"/>
    </xf>
    <xf numFmtId="164" fontId="0" fillId="10" borderId="50" xfId="0" applyFill="1" applyBorder="1" applyAlignment="1">
      <alignment horizontal="centerContinuous"/>
    </xf>
    <xf numFmtId="164" fontId="0" fillId="15" borderId="52" xfId="0" applyFill="1" applyBorder="1" applyAlignment="1">
      <alignment horizontal="centerContinuous"/>
    </xf>
    <xf numFmtId="164" fontId="0" fillId="15" borderId="50" xfId="0" applyFill="1" applyBorder="1" applyAlignment="1">
      <alignment horizontal="centerContinuous"/>
    </xf>
    <xf numFmtId="164" fontId="0" fillId="19" borderId="52" xfId="0" applyFill="1" applyBorder="1" applyAlignment="1">
      <alignment horizontal="centerContinuous"/>
    </xf>
    <xf numFmtId="164" fontId="0" fillId="19" borderId="50" xfId="0" applyFill="1" applyBorder="1" applyAlignment="1">
      <alignment horizontal="centerContinuous"/>
    </xf>
    <xf numFmtId="1" fontId="0" fillId="37" borderId="50" xfId="0" applyNumberFormat="1" applyFill="1" applyBorder="1" applyAlignment="1">
      <alignment horizontal="left"/>
    </xf>
    <xf numFmtId="1" fontId="2" fillId="37" borderId="23" xfId="0" applyNumberFormat="1" applyFont="1" applyFill="1" applyBorder="1" applyAlignment="1">
      <alignment horizontal="center"/>
    </xf>
    <xf numFmtId="1" fontId="2" fillId="37" borderId="53" xfId="0" applyNumberFormat="1" applyFont="1" applyFill="1" applyBorder="1" applyAlignment="1">
      <alignment horizontal="center"/>
    </xf>
    <xf numFmtId="1" fontId="0" fillId="37" borderId="23" xfId="0" applyNumberFormat="1" applyFill="1" applyBorder="1" applyAlignment="1">
      <alignment horizontal="center"/>
    </xf>
    <xf numFmtId="1" fontId="0" fillId="37" borderId="53" xfId="0" applyNumberFormat="1" applyFill="1" applyBorder="1" applyAlignment="1">
      <alignment horizontal="center"/>
    </xf>
    <xf numFmtId="1" fontId="0" fillId="37" borderId="54" xfId="0" applyNumberFormat="1" applyFill="1" applyBorder="1" applyAlignment="1">
      <alignment horizontal="center"/>
    </xf>
    <xf numFmtId="1" fontId="0" fillId="37" borderId="0" xfId="0" applyNumberFormat="1" applyFill="1"/>
    <xf numFmtId="164" fontId="0" fillId="0" borderId="50" xfId="0" applyBorder="1" applyAlignment="1">
      <alignment horizontal="left"/>
    </xf>
    <xf numFmtId="164" fontId="0" fillId="37" borderId="0" xfId="0" applyFill="1" applyAlignment="1">
      <alignment horizontal="left"/>
    </xf>
    <xf numFmtId="164" fontId="0" fillId="37" borderId="0" xfId="0" applyFill="1"/>
    <xf numFmtId="37" fontId="7" fillId="0" borderId="0" xfId="8" applyNumberFormat="1" applyFont="1" applyAlignment="1">
      <alignment horizontal="centerContinuous"/>
    </xf>
    <xf numFmtId="0" fontId="24" fillId="0" borderId="0" xfId="8" applyFont="1" applyAlignment="1">
      <alignment horizontal="centerContinuous"/>
    </xf>
    <xf numFmtId="0" fontId="2" fillId="0" borderId="0" xfId="8" applyFont="1" applyAlignment="1">
      <alignment horizontal="centerContinuous"/>
    </xf>
    <xf numFmtId="165" fontId="25" fillId="0" borderId="0" xfId="10" applyNumberFormat="1" applyFont="1" applyAlignment="1">
      <alignment horizontal="left"/>
    </xf>
    <xf numFmtId="165" fontId="25" fillId="0" borderId="0" xfId="10" applyNumberFormat="1" applyFont="1" applyAlignment="1">
      <alignment horizontal="centerContinuous"/>
    </xf>
    <xf numFmtId="0" fontId="2" fillId="0" borderId="0" xfId="8" applyFont="1"/>
    <xf numFmtId="37" fontId="4" fillId="0" borderId="0" xfId="8" applyNumberFormat="1" applyFont="1" applyAlignment="1">
      <alignment horizontal="centerContinuous"/>
    </xf>
    <xf numFmtId="0" fontId="1" fillId="0" borderId="0" xfId="8" applyAlignment="1">
      <alignment vertical="top" wrapText="1"/>
    </xf>
    <xf numFmtId="37" fontId="27" fillId="0" borderId="0" xfId="8" applyNumberFormat="1" applyFont="1" applyAlignment="1">
      <alignment horizontal="centerContinuous"/>
    </xf>
    <xf numFmtId="165" fontId="28" fillId="0" borderId="0" xfId="10" applyNumberFormat="1" applyFont="1" applyAlignment="1">
      <alignment horizontal="left"/>
    </xf>
    <xf numFmtId="165" fontId="28" fillId="0" borderId="0" xfId="10" applyNumberFormat="1" applyFont="1" applyAlignment="1">
      <alignment horizontal="centerContinuous"/>
    </xf>
    <xf numFmtId="0" fontId="2" fillId="0" borderId="50" xfId="8" applyFont="1" applyBorder="1"/>
    <xf numFmtId="3" fontId="2" fillId="0" borderId="50" xfId="8" applyNumberFormat="1" applyFont="1" applyBorder="1"/>
    <xf numFmtId="0" fontId="2" fillId="0" borderId="50" xfId="8" applyFont="1" applyBorder="1" applyAlignment="1">
      <alignment horizontal="left"/>
    </xf>
    <xf numFmtId="3" fontId="2" fillId="0" borderId="0" xfId="8" applyNumberFormat="1" applyFont="1"/>
    <xf numFmtId="165" fontId="28" fillId="0" borderId="0" xfId="10" applyNumberFormat="1" applyFont="1"/>
    <xf numFmtId="37" fontId="29" fillId="0" borderId="0" xfId="8" applyNumberFormat="1" applyFont="1"/>
    <xf numFmtId="0" fontId="29" fillId="0" borderId="54" xfId="8" applyFont="1" applyBorder="1" applyAlignment="1">
      <alignment horizontal="centerContinuous"/>
    </xf>
    <xf numFmtId="0" fontId="29" fillId="0" borderId="0" xfId="8" applyFont="1" applyAlignment="1">
      <alignment horizontal="centerContinuous"/>
    </xf>
    <xf numFmtId="165" fontId="30" fillId="0" borderId="0" xfId="10" applyNumberFormat="1" applyFont="1" applyAlignment="1">
      <alignment horizontal="left"/>
    </xf>
    <xf numFmtId="165" fontId="31" fillId="0" borderId="0" xfId="10" applyNumberFormat="1" applyFont="1" applyAlignment="1">
      <alignment horizontal="centerContinuous"/>
    </xf>
    <xf numFmtId="0" fontId="29" fillId="0" borderId="0" xfId="8" applyFont="1"/>
    <xf numFmtId="0" fontId="29" fillId="0" borderId="23" xfId="8" applyFont="1" applyBorder="1" applyAlignment="1">
      <alignment horizontal="center"/>
    </xf>
    <xf numFmtId="0" fontId="29" fillId="0" borderId="54" xfId="8" applyFont="1" applyBorder="1" applyAlignment="1">
      <alignment horizontal="center"/>
    </xf>
    <xf numFmtId="0" fontId="29" fillId="0" borderId="26" xfId="8" applyFont="1" applyBorder="1" applyAlignment="1">
      <alignment horizontal="centerContinuous"/>
    </xf>
    <xf numFmtId="0" fontId="29" fillId="0" borderId="54" xfId="8" applyFont="1" applyBorder="1" applyAlignment="1">
      <alignment horizontal="center" wrapText="1"/>
    </xf>
    <xf numFmtId="0" fontId="29" fillId="0" borderId="53" xfId="8" applyFont="1" applyBorder="1" applyAlignment="1">
      <alignment horizontal="center" wrapText="1"/>
    </xf>
    <xf numFmtId="0" fontId="29" fillId="0" borderId="55" xfId="8" applyFont="1" applyBorder="1" applyAlignment="1">
      <alignment horizontal="center" wrapText="1"/>
    </xf>
    <xf numFmtId="0" fontId="29" fillId="0" borderId="23" xfId="8" applyFont="1" applyBorder="1" applyAlignment="1">
      <alignment horizontal="centerContinuous"/>
    </xf>
    <xf numFmtId="0" fontId="29" fillId="0" borderId="53" xfId="8" applyFont="1" applyBorder="1" applyAlignment="1">
      <alignment horizontal="centerContinuous"/>
    </xf>
    <xf numFmtId="0" fontId="29" fillId="0" borderId="52" xfId="8" applyFont="1" applyBorder="1" applyAlignment="1">
      <alignment horizontal="center" wrapText="1"/>
    </xf>
    <xf numFmtId="3" fontId="31" fillId="0" borderId="0" xfId="8" applyNumberFormat="1" applyFont="1"/>
    <xf numFmtId="0" fontId="31" fillId="0" borderId="0" xfId="8" applyFont="1"/>
    <xf numFmtId="0" fontId="2" fillId="0" borderId="22" xfId="8" applyFont="1" applyBorder="1" applyAlignment="1">
      <alignment horizontal="left"/>
    </xf>
    <xf numFmtId="169" fontId="2" fillId="0" borderId="0" xfId="11" applyNumberFormat="1" applyFont="1" applyAlignment="1">
      <alignment horizontal="right"/>
    </xf>
    <xf numFmtId="169" fontId="9" fillId="0" borderId="56" xfId="10" applyNumberFormat="1" applyFont="1" applyBorder="1" applyAlignment="1">
      <alignment horizontal="right"/>
    </xf>
    <xf numFmtId="170" fontId="2" fillId="0" borderId="57" xfId="11" applyNumberFormat="1" applyFont="1" applyBorder="1" applyAlignment="1">
      <alignment horizontal="right"/>
    </xf>
    <xf numFmtId="169" fontId="2" fillId="0" borderId="22" xfId="8" applyNumberFormat="1" applyFont="1" applyBorder="1"/>
    <xf numFmtId="169" fontId="2" fillId="0" borderId="57" xfId="11" applyNumberFormat="1" applyFont="1" applyBorder="1" applyAlignment="1">
      <alignment horizontal="right"/>
    </xf>
    <xf numFmtId="168" fontId="28" fillId="0" borderId="0" xfId="10" applyNumberFormat="1" applyFont="1" applyAlignment="1">
      <alignment horizontal="right"/>
    </xf>
    <xf numFmtId="169" fontId="2" fillId="0" borderId="0" xfId="8" applyNumberFormat="1" applyFont="1"/>
    <xf numFmtId="2" fontId="2" fillId="0" borderId="49" xfId="11" applyNumberFormat="1" applyFont="1" applyBorder="1" applyAlignment="1">
      <alignment horizontal="right"/>
    </xf>
    <xf numFmtId="169" fontId="2" fillId="0" borderId="49" xfId="11" applyNumberFormat="1" applyFont="1" applyBorder="1" applyAlignment="1">
      <alignment horizontal="right"/>
    </xf>
    <xf numFmtId="170" fontId="2" fillId="0" borderId="0" xfId="11" applyNumberFormat="1" applyFont="1" applyAlignment="1">
      <alignment horizontal="right"/>
    </xf>
    <xf numFmtId="171" fontId="2" fillId="0" borderId="49" xfId="11" applyNumberFormat="1" applyFont="1" applyBorder="1" applyAlignment="1">
      <alignment horizontal="right"/>
    </xf>
    <xf numFmtId="170" fontId="2" fillId="0" borderId="49" xfId="11" applyNumberFormat="1" applyFont="1" applyBorder="1" applyAlignment="1">
      <alignment horizontal="right"/>
    </xf>
    <xf numFmtId="2" fontId="2" fillId="0" borderId="0" xfId="11" applyNumberFormat="1" applyFont="1" applyAlignment="1">
      <alignment horizontal="right"/>
    </xf>
    <xf numFmtId="169" fontId="2" fillId="0" borderId="50" xfId="11" applyNumberFormat="1" applyFont="1" applyBorder="1" applyAlignment="1">
      <alignment horizontal="right"/>
    </xf>
    <xf numFmtId="169" fontId="9" fillId="0" borderId="58" xfId="10" applyNumberFormat="1" applyFont="1" applyBorder="1" applyAlignment="1">
      <alignment horizontal="right"/>
    </xf>
    <xf numFmtId="169" fontId="2" fillId="0" borderId="51" xfId="11" applyNumberFormat="1" applyFont="1" applyBorder="1" applyAlignment="1">
      <alignment horizontal="right"/>
    </xf>
    <xf numFmtId="169" fontId="2" fillId="0" borderId="50" xfId="8" applyNumberFormat="1" applyFont="1" applyBorder="1"/>
    <xf numFmtId="0" fontId="34" fillId="0" borderId="0" xfId="8" applyFont="1" applyAlignment="1">
      <alignment wrapText="1"/>
    </xf>
    <xf numFmtId="0" fontId="26" fillId="0" borderId="0" xfId="8" applyFont="1"/>
    <xf numFmtId="0" fontId="34" fillId="0" borderId="0" xfId="8" applyFont="1" applyAlignment="1">
      <alignment vertical="top"/>
    </xf>
    <xf numFmtId="168" fontId="26" fillId="0" borderId="0" xfId="10" applyNumberFormat="1" applyFont="1" applyAlignment="1">
      <alignment horizontal="right"/>
    </xf>
    <xf numFmtId="168" fontId="26" fillId="0" borderId="0" xfId="10" applyNumberFormat="1" applyFont="1" applyAlignment="1">
      <alignment horizontal="right" indent="1"/>
    </xf>
    <xf numFmtId="169" fontId="26" fillId="0" borderId="0" xfId="8" applyNumberFormat="1" applyFont="1"/>
    <xf numFmtId="0" fontId="34" fillId="0" borderId="0" xfId="8" applyFont="1" applyAlignment="1">
      <alignment vertical="top" wrapText="1"/>
    </xf>
    <xf numFmtId="49" fontId="26" fillId="0" borderId="0" xfId="8" quotePrefix="1" applyNumberFormat="1" applyFont="1" applyAlignment="1">
      <alignment horizontal="right"/>
    </xf>
    <xf numFmtId="3" fontId="29" fillId="0" borderId="0" xfId="8" applyNumberFormat="1" applyFont="1"/>
    <xf numFmtId="0" fontId="2" fillId="0" borderId="22" xfId="8" applyFont="1" applyBorder="1"/>
    <xf numFmtId="171" fontId="2" fillId="0" borderId="0" xfId="11" applyNumberFormat="1" applyFont="1" applyAlignment="1">
      <alignment horizontal="right"/>
    </xf>
    <xf numFmtId="171" fontId="2" fillId="0" borderId="50" xfId="11" applyNumberFormat="1" applyFont="1" applyBorder="1" applyAlignment="1">
      <alignment horizontal="right"/>
    </xf>
    <xf numFmtId="0" fontId="34" fillId="0" borderId="0" xfId="8" applyFont="1"/>
    <xf numFmtId="168" fontId="26" fillId="0" borderId="0" xfId="8" applyNumberFormat="1" applyFont="1"/>
    <xf numFmtId="0" fontId="26" fillId="0" borderId="0" xfId="8" applyFont="1" applyAlignment="1">
      <alignment horizontal="centerContinuous"/>
    </xf>
    <xf numFmtId="0" fontId="21" fillId="0" borderId="0" xfId="8" applyFont="1" applyAlignment="1">
      <alignment vertical="top" wrapText="1"/>
    </xf>
    <xf numFmtId="2" fontId="2" fillId="0" borderId="57" xfId="11" applyNumberFormat="1" applyFont="1" applyBorder="1" applyAlignment="1">
      <alignment horizontal="right"/>
    </xf>
    <xf numFmtId="2" fontId="2" fillId="0" borderId="50" xfId="11" applyNumberFormat="1" applyFont="1" applyBorder="1" applyAlignment="1">
      <alignment horizontal="right"/>
    </xf>
    <xf numFmtId="169" fontId="35" fillId="0" borderId="0" xfId="12" applyNumberFormat="1" applyFill="1" applyAlignment="1">
      <alignment horizontal="right"/>
    </xf>
    <xf numFmtId="2" fontId="2" fillId="0" borderId="51" xfId="11" applyNumberFormat="1" applyFont="1" applyBorder="1" applyAlignment="1">
      <alignment horizontal="right"/>
    </xf>
    <xf numFmtId="0" fontId="2" fillId="0" borderId="0" xfId="8" applyFont="1" applyAlignment="1">
      <alignment horizontal="left"/>
    </xf>
    <xf numFmtId="1" fontId="2" fillId="0" borderId="0" xfId="8" applyNumberFormat="1" applyFont="1"/>
    <xf numFmtId="169" fontId="2" fillId="0" borderId="0" xfId="10" applyNumberFormat="1"/>
    <xf numFmtId="168" fontId="36" fillId="0" borderId="0" xfId="10" applyNumberFormat="1" applyFont="1" applyAlignment="1">
      <alignment horizontal="right"/>
    </xf>
    <xf numFmtId="165" fontId="36" fillId="0" borderId="0" xfId="10" applyNumberFormat="1" applyFont="1"/>
    <xf numFmtId="169" fontId="2" fillId="0" borderId="0" xfId="10" applyNumberFormat="1" applyAlignment="1">
      <alignment horizontal="right"/>
    </xf>
    <xf numFmtId="169" fontId="2" fillId="0" borderId="0" xfId="10" applyNumberFormat="1" applyAlignment="1">
      <alignment horizontal="right" indent="1"/>
    </xf>
    <xf numFmtId="0" fontId="36" fillId="0" borderId="0" xfId="8" applyFont="1"/>
    <xf numFmtId="0" fontId="26" fillId="0" borderId="0" xfId="8" applyFont="1" applyAlignment="1">
      <alignment horizontal="left"/>
    </xf>
    <xf numFmtId="169" fontId="2" fillId="0" borderId="0" xfId="11" quotePrefix="1" applyNumberFormat="1" applyFont="1" applyAlignment="1">
      <alignment horizontal="left"/>
    </xf>
    <xf numFmtId="0" fontId="1" fillId="0" borderId="0" xfId="8" applyAlignment="1">
      <alignment wrapText="1"/>
    </xf>
    <xf numFmtId="165" fontId="36" fillId="0" borderId="0" xfId="10" applyNumberFormat="1" applyFont="1" applyAlignment="1">
      <alignment horizontal="left"/>
    </xf>
    <xf numFmtId="165" fontId="2" fillId="0" borderId="0" xfId="10" applyNumberFormat="1" applyAlignment="1">
      <alignment horizontal="left"/>
    </xf>
    <xf numFmtId="0" fontId="28" fillId="0" borderId="0" xfId="8" applyFont="1"/>
    <xf numFmtId="165" fontId="41" fillId="0" borderId="0" xfId="10" applyNumberFormat="1" applyFont="1" applyAlignment="1">
      <alignment horizontal="left"/>
    </xf>
    <xf numFmtId="165" fontId="29" fillId="0" borderId="0" xfId="10" applyNumberFormat="1" applyFont="1" applyAlignment="1">
      <alignment horizontal="centerContinuous"/>
    </xf>
    <xf numFmtId="169" fontId="2" fillId="0" borderId="0" xfId="11" quotePrefix="1" applyNumberFormat="1" applyFont="1" applyAlignment="1">
      <alignment horizontal="right"/>
    </xf>
    <xf numFmtId="169" fontId="28" fillId="0" borderId="0" xfId="8" applyNumberFormat="1" applyFont="1"/>
    <xf numFmtId="1" fontId="28" fillId="0" borderId="0" xfId="8" applyNumberFormat="1" applyFont="1"/>
    <xf numFmtId="172" fontId="2" fillId="0" borderId="0" xfId="11" applyNumberFormat="1" applyFont="1" applyAlignment="1">
      <alignment horizontal="right"/>
    </xf>
    <xf numFmtId="169" fontId="36" fillId="0" borderId="0" xfId="8" applyNumberFormat="1" applyFont="1"/>
    <xf numFmtId="3" fontId="28" fillId="0" borderId="0" xfId="8" applyNumberFormat="1" applyFont="1"/>
    <xf numFmtId="0" fontId="21" fillId="0" borderId="0" xfId="8" applyFont="1" applyAlignment="1">
      <alignment wrapText="1"/>
    </xf>
    <xf numFmtId="49" fontId="7" fillId="0" borderId="0" xfId="8" applyNumberFormat="1" applyFont="1" applyAlignment="1" applyProtection="1">
      <alignment horizontal="centerContinuous"/>
      <protection locked="0"/>
    </xf>
    <xf numFmtId="0" fontId="1" fillId="0" borderId="0" xfId="8" applyAlignment="1">
      <alignment horizontal="centerContinuous"/>
    </xf>
    <xf numFmtId="0" fontId="21" fillId="0" borderId="0" xfId="8" applyFont="1" applyAlignment="1">
      <alignment horizontal="centerContinuous"/>
    </xf>
    <xf numFmtId="37" fontId="42" fillId="0" borderId="0" xfId="8" applyNumberFormat="1" applyFont="1" applyAlignment="1">
      <alignment horizontal="centerContinuous"/>
    </xf>
    <xf numFmtId="37" fontId="43" fillId="0" borderId="50" xfId="8" applyNumberFormat="1" applyFont="1" applyBorder="1"/>
    <xf numFmtId="0" fontId="1" fillId="0" borderId="50" xfId="8" applyBorder="1"/>
    <xf numFmtId="0" fontId="21" fillId="0" borderId="50" xfId="8" applyFont="1" applyBorder="1"/>
    <xf numFmtId="37" fontId="43" fillId="0" borderId="54" xfId="8" applyNumberFormat="1" applyFont="1" applyBorder="1"/>
    <xf numFmtId="0" fontId="4" fillId="0" borderId="54" xfId="8" applyFont="1" applyBorder="1" applyAlignment="1">
      <alignment horizontal="center"/>
    </xf>
    <xf numFmtId="0" fontId="4" fillId="0" borderId="23" xfId="8" applyFont="1" applyBorder="1" applyAlignment="1">
      <alignment horizontal="center"/>
    </xf>
    <xf numFmtId="0" fontId="4" fillId="0" borderId="23" xfId="8" applyFont="1" applyBorder="1" applyAlignment="1">
      <alignment horizontal="centerContinuous"/>
    </xf>
    <xf numFmtId="0" fontId="4" fillId="0" borderId="54" xfId="8" applyFont="1" applyBorder="1" applyAlignment="1">
      <alignment horizontal="centerContinuous"/>
    </xf>
    <xf numFmtId="0" fontId="4" fillId="0" borderId="0" xfId="8" applyFont="1"/>
    <xf numFmtId="37" fontId="43" fillId="0" borderId="54" xfId="8" applyNumberFormat="1" applyFont="1" applyBorder="1" applyAlignment="1">
      <alignment horizontal="center"/>
    </xf>
    <xf numFmtId="0" fontId="4" fillId="0" borderId="55" xfId="8" applyFont="1" applyBorder="1" applyAlignment="1">
      <alignment horizontal="center"/>
    </xf>
    <xf numFmtId="0" fontId="4" fillId="0" borderId="23" xfId="8" applyFont="1" applyBorder="1" applyAlignment="1">
      <alignment horizontal="center" wrapText="1"/>
    </xf>
    <xf numFmtId="0" fontId="4" fillId="0" borderId="0" xfId="8" applyFont="1" applyAlignment="1">
      <alignment horizontal="center"/>
    </xf>
    <xf numFmtId="169" fontId="2" fillId="0" borderId="0" xfId="8" applyNumberFormat="1" applyFont="1" applyAlignment="1">
      <alignment horizontal="center"/>
    </xf>
    <xf numFmtId="169" fontId="2" fillId="0" borderId="59" xfId="8" applyNumberFormat="1" applyFont="1" applyBorder="1" applyAlignment="1">
      <alignment horizontal="center"/>
    </xf>
    <xf numFmtId="169" fontId="2" fillId="0" borderId="31" xfId="8" applyNumberFormat="1" applyFont="1" applyBorder="1" applyAlignment="1">
      <alignment horizontal="center"/>
    </xf>
    <xf numFmtId="169" fontId="2" fillId="0" borderId="31" xfId="8" applyNumberFormat="1" applyFont="1" applyBorder="1"/>
    <xf numFmtId="169" fontId="2" fillId="0" borderId="26" xfId="8" applyNumberFormat="1" applyFont="1" applyBorder="1" applyAlignment="1">
      <alignment horizontal="center"/>
    </xf>
    <xf numFmtId="169" fontId="2" fillId="0" borderId="56" xfId="8" applyNumberFormat="1" applyFont="1" applyBorder="1" applyAlignment="1">
      <alignment horizontal="center"/>
    </xf>
    <xf numFmtId="169" fontId="2" fillId="0" borderId="50" xfId="8" applyNumberFormat="1" applyFont="1" applyBorder="1" applyAlignment="1">
      <alignment horizontal="center"/>
    </xf>
    <xf numFmtId="169" fontId="2" fillId="0" borderId="58" xfId="8" applyNumberFormat="1" applyFont="1" applyBorder="1" applyAlignment="1">
      <alignment horizontal="center"/>
    </xf>
    <xf numFmtId="169" fontId="2" fillId="0" borderId="52" xfId="8" applyNumberFormat="1" applyFont="1" applyBorder="1" applyAlignment="1">
      <alignment horizontal="center"/>
    </xf>
    <xf numFmtId="169" fontId="2" fillId="0" borderId="51" xfId="8" applyNumberFormat="1" applyFont="1" applyBorder="1" applyAlignment="1">
      <alignment horizontal="center"/>
    </xf>
    <xf numFmtId="169" fontId="2" fillId="0" borderId="52" xfId="8" applyNumberFormat="1" applyFont="1" applyBorder="1"/>
    <xf numFmtId="49" fontId="26" fillId="0" borderId="0" xfId="8" applyNumberFormat="1" applyFont="1" applyAlignment="1">
      <alignment horizontal="right"/>
    </xf>
    <xf numFmtId="37" fontId="42" fillId="0" borderId="0" xfId="8" applyNumberFormat="1" applyFont="1" applyAlignment="1">
      <alignment horizontal="center"/>
    </xf>
    <xf numFmtId="37" fontId="43" fillId="0" borderId="0" xfId="8" applyNumberFormat="1" applyFont="1" applyAlignment="1">
      <alignment horizontal="centerContinuous"/>
    </xf>
    <xf numFmtId="0" fontId="4" fillId="0" borderId="53" xfId="8" applyFont="1" applyBorder="1" applyAlignment="1">
      <alignment horizontal="centerContinuous"/>
    </xf>
    <xf numFmtId="0" fontId="2" fillId="0" borderId="31" xfId="8" applyFont="1" applyBorder="1"/>
    <xf numFmtId="0" fontId="26" fillId="0" borderId="31" xfId="8" applyFont="1" applyBorder="1"/>
    <xf numFmtId="169" fontId="21" fillId="0" borderId="31" xfId="8" applyNumberFormat="1" applyFont="1" applyBorder="1" applyAlignment="1">
      <alignment horizontal="center"/>
    </xf>
    <xf numFmtId="0" fontId="21" fillId="0" borderId="0" xfId="8" applyFont="1" applyAlignment="1">
      <alignment horizontal="center"/>
    </xf>
    <xf numFmtId="0" fontId="1" fillId="0" borderId="0" xfId="8" applyAlignment="1">
      <alignment horizontal="center"/>
    </xf>
    <xf numFmtId="0" fontId="2" fillId="0" borderId="0" xfId="8" applyFont="1" applyAlignment="1">
      <alignment horizontal="center"/>
    </xf>
    <xf numFmtId="37" fontId="43" fillId="0" borderId="50" xfId="8" applyNumberFormat="1" applyFont="1" applyBorder="1" applyAlignment="1">
      <alignment horizontal="centerContinuous"/>
    </xf>
    <xf numFmtId="0" fontId="1" fillId="0" borderId="50" xfId="8" applyBorder="1" applyAlignment="1">
      <alignment horizontal="centerContinuous"/>
    </xf>
    <xf numFmtId="169" fontId="2" fillId="0" borderId="22" xfId="8" applyNumberFormat="1" applyFont="1" applyBorder="1" applyAlignment="1">
      <alignment horizontal="center"/>
    </xf>
    <xf numFmtId="169" fontId="21" fillId="0" borderId="0" xfId="8" applyNumberFormat="1" applyFont="1"/>
    <xf numFmtId="169" fontId="1" fillId="0" borderId="0" xfId="8" applyNumberFormat="1"/>
    <xf numFmtId="0" fontId="21" fillId="0" borderId="0" xfId="8" applyFont="1" applyAlignment="1" applyProtection="1">
      <alignment vertical="center" wrapText="1"/>
      <protection locked="0"/>
    </xf>
    <xf numFmtId="0" fontId="1" fillId="0" borderId="0" xfId="8" applyAlignment="1" applyProtection="1">
      <alignment vertical="center" wrapText="1"/>
      <protection locked="0"/>
    </xf>
    <xf numFmtId="37" fontId="4" fillId="0" borderId="50" xfId="8" applyNumberFormat="1" applyFont="1" applyBorder="1"/>
    <xf numFmtId="37" fontId="29" fillId="0" borderId="54" xfId="8" applyNumberFormat="1" applyFont="1" applyBorder="1"/>
    <xf numFmtId="37" fontId="29" fillId="0" borderId="54" xfId="8" applyNumberFormat="1" applyFont="1" applyBorder="1" applyAlignment="1">
      <alignment horizontal="center"/>
    </xf>
    <xf numFmtId="0" fontId="29" fillId="0" borderId="55" xfId="8" applyFont="1" applyBorder="1" applyAlignment="1">
      <alignment horizontal="center"/>
    </xf>
    <xf numFmtId="0" fontId="29" fillId="0" borderId="23" xfId="8" applyFont="1" applyBorder="1" applyAlignment="1">
      <alignment horizontal="center" wrapText="1"/>
    </xf>
    <xf numFmtId="169" fontId="21" fillId="0" borderId="0" xfId="8" applyNumberFormat="1" applyFont="1" applyAlignment="1">
      <alignment horizontal="right"/>
    </xf>
    <xf numFmtId="37" fontId="27" fillId="0" borderId="0" xfId="8" applyNumberFormat="1" applyFont="1" applyAlignment="1">
      <alignment horizontal="center"/>
    </xf>
    <xf numFmtId="0" fontId="8" fillId="0" borderId="0" xfId="8" applyFont="1" applyAlignment="1">
      <alignment horizontal="center"/>
    </xf>
    <xf numFmtId="0" fontId="8" fillId="0" borderId="0" xfId="8" applyFont="1"/>
    <xf numFmtId="169" fontId="23" fillId="0" borderId="0" xfId="8" applyNumberFormat="1" applyFont="1"/>
    <xf numFmtId="169" fontId="2" fillId="0" borderId="0" xfId="8" applyNumberFormat="1" applyFont="1" applyAlignment="1">
      <alignment horizontal="right"/>
    </xf>
    <xf numFmtId="2" fontId="2" fillId="0" borderId="0" xfId="8" applyNumberFormat="1" applyFont="1" applyAlignment="1">
      <alignment horizontal="right"/>
    </xf>
    <xf numFmtId="37" fontId="4" fillId="0" borderId="54" xfId="8" applyNumberFormat="1" applyFont="1" applyBorder="1"/>
    <xf numFmtId="37" fontId="4" fillId="0" borderId="54" xfId="8" applyNumberFormat="1" applyFont="1" applyBorder="1" applyAlignment="1">
      <alignment horizontal="center"/>
    </xf>
    <xf numFmtId="3" fontId="11" fillId="6" borderId="56" xfId="0" applyNumberFormat="1" applyFont="1" applyFill="1" applyBorder="1"/>
    <xf numFmtId="164" fontId="4" fillId="0" borderId="52" xfId="0" applyFont="1" applyBorder="1" applyAlignment="1">
      <alignment horizontal="centerContinuous" wrapText="1"/>
    </xf>
    <xf numFmtId="164" fontId="6" fillId="0" borderId="50" xfId="0" applyFont="1" applyBorder="1" applyAlignment="1">
      <alignment horizontal="centerContinuous"/>
    </xf>
    <xf numFmtId="164" fontId="11" fillId="0" borderId="52" xfId="0" applyFont="1" applyBorder="1" applyAlignment="1">
      <alignment horizontal="centerContinuous" wrapText="1"/>
    </xf>
    <xf numFmtId="164" fontId="5" fillId="0" borderId="58" xfId="0" applyFont="1" applyBorder="1" applyAlignment="1">
      <alignment horizontal="center" wrapText="1"/>
    </xf>
    <xf numFmtId="164" fontId="4" fillId="0" borderId="58" xfId="0" applyFont="1" applyBorder="1" applyAlignment="1">
      <alignment horizontal="centerContinuous" wrapText="1"/>
    </xf>
    <xf numFmtId="164" fontId="11" fillId="6" borderId="52" xfId="0" applyFont="1" applyFill="1" applyBorder="1" applyAlignment="1">
      <alignment horizontal="center" wrapText="1"/>
    </xf>
    <xf numFmtId="164" fontId="4" fillId="0" borderId="52" xfId="0" applyFont="1" applyBorder="1" applyAlignment="1">
      <alignment horizontal="center" wrapText="1"/>
    </xf>
    <xf numFmtId="164" fontId="2" fillId="3" borderId="49" xfId="0" applyFont="1" applyFill="1" applyBorder="1" applyAlignment="1">
      <alignment horizontal="center" wrapText="1"/>
    </xf>
    <xf numFmtId="3" fontId="2" fillId="11" borderId="0" xfId="0" applyNumberFormat="1" applyFont="1" applyFill="1" applyAlignment="1" applyProtection="1">
      <alignment horizontal="left"/>
      <protection locked="0"/>
    </xf>
    <xf numFmtId="49" fontId="2" fillId="25" borderId="5" xfId="0" applyNumberFormat="1" applyFont="1" applyFill="1" applyBorder="1" applyAlignment="1" applyProtection="1">
      <alignment horizontal="center"/>
      <protection locked="0"/>
    </xf>
    <xf numFmtId="49" fontId="4" fillId="25" borderId="0" xfId="0" applyNumberFormat="1" applyFont="1" applyFill="1" applyAlignment="1" applyProtection="1">
      <alignment horizontal="left"/>
      <protection locked="0"/>
    </xf>
    <xf numFmtId="1" fontId="2" fillId="25" borderId="0" xfId="0" applyNumberFormat="1" applyFont="1" applyFill="1" applyAlignment="1" applyProtection="1">
      <alignment horizontal="center"/>
      <protection locked="0"/>
    </xf>
    <xf numFmtId="49" fontId="2" fillId="25" borderId="0" xfId="0" applyNumberFormat="1" applyFont="1" applyFill="1" applyAlignment="1" applyProtection="1">
      <alignment horizontal="left"/>
      <protection locked="0"/>
    </xf>
    <xf numFmtId="0" fontId="21" fillId="0" borderId="0" xfId="8" applyFont="1" applyFill="1"/>
    <xf numFmtId="0" fontId="21" fillId="0" borderId="16" xfId="8" applyFont="1" applyFill="1" applyBorder="1"/>
    <xf numFmtId="0" fontId="21" fillId="0" borderId="17" xfId="8" applyFont="1" applyFill="1" applyBorder="1"/>
    <xf numFmtId="9" fontId="21" fillId="0" borderId="18" xfId="8" applyNumberFormat="1" applyFont="1" applyFill="1" applyBorder="1"/>
    <xf numFmtId="9" fontId="21" fillId="0" borderId="17" xfId="8" applyNumberFormat="1" applyFont="1" applyFill="1" applyBorder="1"/>
    <xf numFmtId="9" fontId="21" fillId="0" borderId="19" xfId="8" applyNumberFormat="1" applyFont="1" applyFill="1" applyBorder="1"/>
    <xf numFmtId="0" fontId="1" fillId="0" borderId="5" xfId="8" applyFill="1" applyBorder="1"/>
    <xf numFmtId="0" fontId="21" fillId="0" borderId="20" xfId="8" applyFont="1" applyFill="1" applyBorder="1"/>
    <xf numFmtId="0" fontId="21" fillId="0" borderId="21" xfId="8" applyFont="1" applyFill="1" applyBorder="1"/>
    <xf numFmtId="0" fontId="21" fillId="0" borderId="22" xfId="8" applyFont="1" applyFill="1" applyBorder="1"/>
    <xf numFmtId="0" fontId="21" fillId="0" borderId="23" xfId="8" applyFont="1" applyFill="1" applyBorder="1"/>
    <xf numFmtId="9" fontId="21" fillId="0" borderId="24" xfId="8" applyNumberFormat="1" applyFont="1" applyFill="1" applyBorder="1"/>
    <xf numFmtId="9" fontId="21" fillId="0" borderId="16" xfId="8" applyNumberFormat="1" applyFont="1" applyFill="1" applyBorder="1"/>
    <xf numFmtId="0" fontId="21" fillId="0" borderId="18" xfId="8" applyFont="1" applyFill="1" applyBorder="1"/>
    <xf numFmtId="0" fontId="21" fillId="0" borderId="25" xfId="8" applyFont="1" applyFill="1" applyBorder="1"/>
    <xf numFmtId="0" fontId="21" fillId="0" borderId="26" xfId="8" applyFont="1" applyFill="1" applyBorder="1"/>
    <xf numFmtId="0" fontId="21" fillId="0" borderId="5" xfId="8" applyFont="1" applyFill="1" applyBorder="1"/>
    <xf numFmtId="9" fontId="21" fillId="0" borderId="27" xfId="8" applyNumberFormat="1" applyFont="1" applyFill="1" applyBorder="1"/>
    <xf numFmtId="9" fontId="21" fillId="0" borderId="28" xfId="8" applyNumberFormat="1" applyFont="1" applyFill="1" applyBorder="1"/>
    <xf numFmtId="0" fontId="22" fillId="0" borderId="16" xfId="8" applyFont="1" applyFill="1" applyBorder="1"/>
    <xf numFmtId="166" fontId="21" fillId="0" borderId="16" xfId="8" applyNumberFormat="1" applyFont="1" applyFill="1" applyBorder="1"/>
    <xf numFmtId="166" fontId="21" fillId="0" borderId="18" xfId="8" applyNumberFormat="1" applyFont="1" applyFill="1" applyBorder="1"/>
    <xf numFmtId="166" fontId="21" fillId="0" borderId="29" xfId="8" applyNumberFormat="1" applyFont="1" applyFill="1" applyBorder="1"/>
    <xf numFmtId="0" fontId="22" fillId="0" borderId="25" xfId="8" applyFont="1" applyFill="1" applyBorder="1"/>
    <xf numFmtId="0" fontId="21" fillId="0" borderId="30" xfId="8" applyFont="1" applyFill="1" applyBorder="1"/>
    <xf numFmtId="166" fontId="21" fillId="0" borderId="30" xfId="8" applyNumberFormat="1" applyFont="1" applyFill="1" applyBorder="1"/>
    <xf numFmtId="166" fontId="21" fillId="0" borderId="0" xfId="8" applyNumberFormat="1" applyFont="1" applyFill="1"/>
    <xf numFmtId="166" fontId="21" fillId="0" borderId="31" xfId="8" applyNumberFormat="1" applyFont="1" applyFill="1" applyBorder="1"/>
    <xf numFmtId="0" fontId="1" fillId="0" borderId="31" xfId="8" applyFill="1" applyBorder="1"/>
    <xf numFmtId="0" fontId="22" fillId="0" borderId="32" xfId="8" applyFont="1" applyFill="1" applyBorder="1" applyAlignment="1">
      <alignment horizontal="right"/>
    </xf>
    <xf numFmtId="167" fontId="22" fillId="0" borderId="32" xfId="8" applyNumberFormat="1" applyFont="1" applyFill="1" applyBorder="1"/>
    <xf numFmtId="167" fontId="22" fillId="0" borderId="1" xfId="8" applyNumberFormat="1" applyFont="1" applyFill="1" applyBorder="1"/>
    <xf numFmtId="167" fontId="22" fillId="0" borderId="7" xfId="8" applyNumberFormat="1" applyFont="1" applyFill="1" applyBorder="1"/>
    <xf numFmtId="167" fontId="22" fillId="0" borderId="33" xfId="8" applyNumberFormat="1" applyFont="1" applyFill="1" applyBorder="1"/>
    <xf numFmtId="168" fontId="21" fillId="0" borderId="0" xfId="9" applyNumberFormat="1" applyFont="1" applyFill="1"/>
    <xf numFmtId="0" fontId="22" fillId="0" borderId="34" xfId="8" applyFont="1" applyFill="1" applyBorder="1" applyAlignment="1">
      <alignment horizontal="right"/>
    </xf>
    <xf numFmtId="167" fontId="22" fillId="0" borderId="34" xfId="8" applyNumberFormat="1" applyFont="1" applyFill="1" applyBorder="1"/>
    <xf numFmtId="167" fontId="22" fillId="0" borderId="35" xfId="8" applyNumberFormat="1" applyFont="1" applyFill="1" applyBorder="1"/>
    <xf numFmtId="167" fontId="22" fillId="0" borderId="36" xfId="8" applyNumberFormat="1" applyFont="1" applyFill="1" applyBorder="1"/>
    <xf numFmtId="0" fontId="22" fillId="0" borderId="37" xfId="8" applyFont="1" applyFill="1" applyBorder="1"/>
    <xf numFmtId="0" fontId="22" fillId="0" borderId="37" xfId="8" applyFont="1" applyFill="1" applyBorder="1" applyAlignment="1">
      <alignment horizontal="right"/>
    </xf>
    <xf numFmtId="167" fontId="22" fillId="0" borderId="37" xfId="8" applyNumberFormat="1" applyFont="1" applyFill="1" applyBorder="1"/>
    <xf numFmtId="167" fontId="22" fillId="0" borderId="38" xfId="8" applyNumberFormat="1" applyFont="1" applyFill="1" applyBorder="1"/>
    <xf numFmtId="167" fontId="22" fillId="0" borderId="39" xfId="8" applyNumberFormat="1" applyFont="1" applyFill="1" applyBorder="1"/>
    <xf numFmtId="0" fontId="22" fillId="0" borderId="30" xfId="8" applyFont="1" applyFill="1" applyBorder="1"/>
    <xf numFmtId="0" fontId="23" fillId="0" borderId="0" xfId="8" applyFont="1" applyFill="1"/>
    <xf numFmtId="168" fontId="21" fillId="0" borderId="0" xfId="10" applyNumberFormat="1" applyFont="1" applyFill="1"/>
    <xf numFmtId="0" fontId="22" fillId="0" borderId="32" xfId="8" applyFont="1" applyFill="1" applyBorder="1"/>
    <xf numFmtId="1" fontId="10" fillId="4" borderId="60" xfId="0" applyNumberFormat="1" applyFont="1" applyFill="1" applyBorder="1" applyAlignment="1">
      <alignment horizontal="center"/>
    </xf>
    <xf numFmtId="164" fontId="11" fillId="5" borderId="55" xfId="0" applyFont="1" applyFill="1" applyBorder="1" applyAlignment="1">
      <alignment horizontal="center" wrapText="1"/>
    </xf>
    <xf numFmtId="164" fontId="4" fillId="7" borderId="10" xfId="0" applyFont="1" applyFill="1" applyBorder="1" applyAlignment="1">
      <alignment horizontal="center" wrapText="1"/>
    </xf>
    <xf numFmtId="164" fontId="5" fillId="0" borderId="10" xfId="0" applyFont="1" applyBorder="1" applyAlignment="1">
      <alignment horizontal="center" wrapText="1"/>
    </xf>
    <xf numFmtId="164" fontId="4" fillId="7" borderId="55" xfId="0" applyFont="1" applyFill="1" applyBorder="1" applyAlignment="1">
      <alignment horizontal="center" wrapText="1"/>
    </xf>
    <xf numFmtId="164" fontId="4" fillId="0" borderId="55" xfId="0" applyFont="1" applyBorder="1" applyAlignment="1">
      <alignment horizontal="center" wrapText="1"/>
    </xf>
    <xf numFmtId="38" fontId="9" fillId="5" borderId="10" xfId="0" applyNumberFormat="1" applyFont="1" applyFill="1" applyBorder="1" applyAlignment="1">
      <alignment horizontal="right"/>
    </xf>
    <xf numFmtId="38" fontId="9" fillId="6" borderId="10" xfId="0" applyNumberFormat="1" applyFont="1" applyFill="1" applyBorder="1" applyAlignment="1">
      <alignment horizontal="right"/>
    </xf>
    <xf numFmtId="37" fontId="2" fillId="12" borderId="10" xfId="0" applyNumberFormat="1" applyFont="1" applyFill="1" applyBorder="1" applyProtection="1">
      <protection locked="0"/>
    </xf>
    <xf numFmtId="37" fontId="2" fillId="13" borderId="10" xfId="0" applyNumberFormat="1" applyFont="1" applyFill="1" applyBorder="1" applyAlignment="1" applyProtection="1">
      <alignment horizontal="center" vertical="top"/>
      <protection locked="0"/>
    </xf>
    <xf numFmtId="37" fontId="2" fillId="10" borderId="0" xfId="0" applyNumberFormat="1" applyFont="1" applyFill="1" applyAlignment="1" applyProtection="1">
      <alignment horizontal="left"/>
      <protection locked="0"/>
    </xf>
    <xf numFmtId="164" fontId="4" fillId="39" borderId="0" xfId="0" applyFont="1" applyFill="1" applyAlignment="1">
      <alignment horizontal="left"/>
    </xf>
    <xf numFmtId="49" fontId="2" fillId="15" borderId="0" xfId="0" applyNumberFormat="1" applyFont="1" applyFill="1" applyAlignment="1" applyProtection="1">
      <alignment horizontal="left"/>
      <protection locked="0"/>
    </xf>
    <xf numFmtId="1" fontId="2" fillId="15" borderId="49" xfId="0" applyNumberFormat="1" applyFont="1" applyFill="1" applyBorder="1" applyAlignment="1" applyProtection="1">
      <alignment horizontal="center"/>
      <protection locked="0"/>
    </xf>
    <xf numFmtId="3" fontId="45" fillId="13" borderId="55" xfId="0" applyNumberFormat="1" applyFont="1" applyFill="1" applyBorder="1" applyAlignment="1" applyProtection="1">
      <alignment horizontal="right" vertical="center" wrapText="1"/>
      <protection locked="0"/>
    </xf>
    <xf numFmtId="1" fontId="8" fillId="17" borderId="0" xfId="0" applyNumberFormat="1" applyFont="1" applyFill="1" applyAlignment="1" applyProtection="1">
      <alignment horizontal="center"/>
      <protection locked="0"/>
    </xf>
    <xf numFmtId="1" fontId="2" fillId="18" borderId="49" xfId="0" applyNumberFormat="1" applyFont="1" applyFill="1" applyBorder="1" applyAlignment="1" applyProtection="1">
      <alignment horizontal="center"/>
      <protection locked="0"/>
    </xf>
    <xf numFmtId="164" fontId="45" fillId="13" borderId="55" xfId="0" applyFont="1" applyFill="1" applyBorder="1" applyAlignment="1" applyProtection="1">
      <alignment horizontal="right" vertical="center" wrapText="1"/>
      <protection locked="0"/>
    </xf>
    <xf numFmtId="0" fontId="2" fillId="19" borderId="0" xfId="0" applyNumberFormat="1" applyFont="1" applyFill="1" applyAlignment="1" applyProtection="1">
      <alignment horizontal="center"/>
      <protection locked="0"/>
    </xf>
    <xf numFmtId="37" fontId="2" fillId="13" borderId="10" xfId="0" applyNumberFormat="1" applyFont="1" applyFill="1" applyBorder="1" applyAlignment="1" applyProtection="1">
      <alignment horizontal="right" vertical="top"/>
      <protection locked="0"/>
    </xf>
    <xf numFmtId="1" fontId="8" fillId="25" borderId="0" xfId="0" applyNumberFormat="1" applyFont="1" applyFill="1" applyAlignment="1" applyProtection="1">
      <alignment horizontal="center"/>
      <protection locked="0"/>
    </xf>
    <xf numFmtId="49" fontId="4" fillId="15" borderId="0" xfId="0" applyNumberFormat="1" applyFont="1" applyFill="1" applyAlignment="1" applyProtection="1">
      <alignment horizontal="left"/>
      <protection locked="0"/>
    </xf>
    <xf numFmtId="49" fontId="8" fillId="15" borderId="0" xfId="0" applyNumberFormat="1" applyFont="1" applyFill="1" applyAlignment="1" applyProtection="1">
      <alignment horizontal="left"/>
      <protection locked="0"/>
    </xf>
    <xf numFmtId="165" fontId="2" fillId="13" borderId="55" xfId="0" applyNumberFormat="1" applyFont="1" applyFill="1" applyBorder="1" applyProtection="1">
      <protection locked="0"/>
    </xf>
    <xf numFmtId="49" fontId="46" fillId="40" borderId="0" xfId="0" applyNumberFormat="1" applyFont="1" applyFill="1" applyAlignment="1" applyProtection="1">
      <alignment horizontal="left"/>
      <protection locked="0"/>
    </xf>
    <xf numFmtId="1" fontId="46" fillId="40" borderId="0" xfId="0" applyNumberFormat="1" applyFont="1" applyFill="1" applyAlignment="1" applyProtection="1">
      <alignment horizontal="center"/>
      <protection locked="0"/>
    </xf>
    <xf numFmtId="37" fontId="47" fillId="41" borderId="10" xfId="0" applyNumberFormat="1" applyFont="1" applyFill="1" applyBorder="1" applyAlignment="1" applyProtection="1">
      <alignment horizontal="center" vertical="top"/>
      <protection locked="0"/>
    </xf>
    <xf numFmtId="37" fontId="46" fillId="40" borderId="10" xfId="0" applyNumberFormat="1" applyFont="1" applyFill="1" applyBorder="1" applyAlignment="1" applyProtection="1">
      <alignment horizontal="center" vertical="top"/>
      <protection locked="0"/>
    </xf>
    <xf numFmtId="1" fontId="8" fillId="19" borderId="0" xfId="0" applyNumberFormat="1" applyFont="1" applyFill="1" applyAlignment="1" applyProtection="1">
      <alignment horizontal="center"/>
      <protection locked="0"/>
    </xf>
    <xf numFmtId="0" fontId="8" fillId="21" borderId="0" xfId="0" applyNumberFormat="1" applyFont="1" applyFill="1" applyAlignment="1" applyProtection="1">
      <alignment horizontal="center"/>
      <protection locked="0"/>
    </xf>
    <xf numFmtId="164" fontId="0" fillId="13" borderId="0" xfId="0" applyFill="1" applyProtection="1">
      <protection locked="0"/>
    </xf>
    <xf numFmtId="37" fontId="2" fillId="13" borderId="10" xfId="0" applyNumberFormat="1" applyFont="1" applyFill="1" applyBorder="1" applyProtection="1">
      <protection locked="0"/>
    </xf>
    <xf numFmtId="49" fontId="2" fillId="42" borderId="0" xfId="0" applyNumberFormat="1" applyFont="1" applyFill="1" applyAlignment="1" applyProtection="1">
      <alignment horizontal="left"/>
      <protection locked="0"/>
    </xf>
    <xf numFmtId="164" fontId="22" fillId="29" borderId="0" xfId="0" applyFont="1" applyFill="1" applyAlignment="1" applyProtection="1">
      <alignment horizontal="left"/>
      <protection locked="0"/>
    </xf>
    <xf numFmtId="0" fontId="8" fillId="32" borderId="0" xfId="0" applyNumberFormat="1" applyFont="1" applyFill="1" applyAlignment="1" applyProtection="1">
      <alignment horizontal="center"/>
      <protection locked="0"/>
    </xf>
    <xf numFmtId="164" fontId="2" fillId="25" borderId="0" xfId="0" applyFont="1" applyFill="1" applyAlignment="1">
      <alignment horizontal="left"/>
    </xf>
    <xf numFmtId="164" fontId="2" fillId="25" borderId="0" xfId="0" applyFont="1" applyFill="1" applyAlignment="1">
      <alignment horizontal="center"/>
    </xf>
    <xf numFmtId="164" fontId="8" fillId="25" borderId="0" xfId="0" applyFont="1" applyFill="1" applyAlignment="1">
      <alignment horizontal="center"/>
    </xf>
    <xf numFmtId="37" fontId="27" fillId="0" borderId="0" xfId="8" applyNumberFormat="1" applyFont="1" applyAlignment="1"/>
    <xf numFmtId="1" fontId="2" fillId="14" borderId="0" xfId="0" applyNumberFormat="1" applyFont="1" applyFill="1" applyAlignment="1" applyProtection="1">
      <alignment horizontal="center"/>
      <protection locked="0"/>
    </xf>
    <xf numFmtId="37" fontId="27" fillId="0" borderId="0" xfId="8" applyNumberFormat="1" applyFont="1" applyAlignment="1">
      <alignment horizontal="center"/>
    </xf>
    <xf numFmtId="37" fontId="7" fillId="0" borderId="0" xfId="8" applyNumberFormat="1" applyFont="1" applyAlignment="1">
      <alignment horizontal="center"/>
    </xf>
    <xf numFmtId="0" fontId="29" fillId="0" borderId="54" xfId="8" applyFont="1" applyBorder="1" applyAlignment="1">
      <alignment horizontal="center"/>
    </xf>
    <xf numFmtId="0" fontId="29" fillId="0" borderId="53" xfId="8" applyFont="1" applyBorder="1" applyAlignment="1">
      <alignment horizontal="center"/>
    </xf>
    <xf numFmtId="0" fontId="29" fillId="0" borderId="23" xfId="8" applyFont="1" applyBorder="1" applyAlignment="1">
      <alignment horizontal="center"/>
    </xf>
    <xf numFmtId="0" fontId="34" fillId="0" borderId="22" xfId="8" applyFont="1" applyBorder="1" applyAlignment="1">
      <alignment horizontal="left" wrapText="1"/>
    </xf>
    <xf numFmtId="0" fontId="34" fillId="0" borderId="0" xfId="8" applyFont="1" applyAlignment="1">
      <alignment vertical="center" wrapText="1"/>
    </xf>
    <xf numFmtId="0" fontId="21" fillId="0" borderId="0" xfId="8" applyFont="1" applyAlignment="1">
      <alignment vertical="center" wrapText="1"/>
    </xf>
    <xf numFmtId="0" fontId="34" fillId="0" borderId="0" xfId="8" applyFont="1" applyAlignment="1">
      <alignment horizontal="left" wrapText="1"/>
    </xf>
    <xf numFmtId="0" fontId="34" fillId="0" borderId="0" xfId="8" applyFont="1" applyAlignment="1">
      <alignment vertical="top" wrapText="1"/>
    </xf>
    <xf numFmtId="0" fontId="21" fillId="0" borderId="0" xfId="8" applyFont="1" applyAlignment="1">
      <alignment vertical="top" wrapText="1"/>
    </xf>
    <xf numFmtId="0" fontId="34" fillId="0" borderId="0" xfId="8" applyFont="1" applyAlignment="1">
      <alignment horizontal="left" vertical="top" wrapText="1"/>
    </xf>
    <xf numFmtId="0" fontId="34" fillId="0" borderId="22" xfId="8" applyFont="1" applyBorder="1" applyAlignment="1">
      <alignment horizontal="left" vertical="top" wrapText="1"/>
    </xf>
    <xf numFmtId="0" fontId="4" fillId="0" borderId="54" xfId="8" applyFont="1" applyBorder="1" applyAlignment="1">
      <alignment horizontal="center"/>
    </xf>
    <xf numFmtId="0" fontId="4" fillId="0" borderId="53" xfId="8" applyFont="1" applyBorder="1" applyAlignment="1">
      <alignment horizontal="center"/>
    </xf>
    <xf numFmtId="0" fontId="4" fillId="0" borderId="23" xfId="8" applyFont="1" applyBorder="1" applyAlignment="1">
      <alignment horizontal="center"/>
    </xf>
    <xf numFmtId="37" fontId="42" fillId="0" borderId="0" xfId="8" applyNumberFormat="1" applyFont="1" applyAlignment="1">
      <alignment horizontal="center"/>
    </xf>
    <xf numFmtId="0" fontId="36" fillId="0" borderId="0" xfId="8" applyFont="1" applyAlignment="1">
      <alignment vertical="top" wrapText="1"/>
    </xf>
    <xf numFmtId="0" fontId="23" fillId="0" borderId="0" xfId="8" applyFont="1" applyAlignment="1">
      <alignment vertical="top" wrapText="1"/>
    </xf>
    <xf numFmtId="0" fontId="34" fillId="0" borderId="0" xfId="8" applyFont="1" applyAlignment="1">
      <alignment wrapText="1"/>
    </xf>
    <xf numFmtId="0" fontId="21" fillId="0" borderId="0" xfId="8" applyFont="1"/>
    <xf numFmtId="0" fontId="26" fillId="0" borderId="0" xfId="8" applyFont="1" applyAlignment="1">
      <alignment vertical="top" wrapText="1"/>
    </xf>
    <xf numFmtId="0" fontId="1" fillId="0" borderId="0" xfId="8" applyAlignment="1">
      <alignment vertical="top" wrapText="1"/>
    </xf>
    <xf numFmtId="164" fontId="4" fillId="0" borderId="52" xfId="0" applyFont="1" applyBorder="1" applyAlignment="1">
      <alignment horizontal="center" wrapText="1"/>
    </xf>
    <xf numFmtId="164" fontId="5" fillId="0" borderId="8" xfId="0" applyFont="1" applyBorder="1" applyAlignment="1">
      <alignment horizontal="center" wrapText="1"/>
    </xf>
    <xf numFmtId="164" fontId="0" fillId="0" borderId="61" xfId="0" applyFont="1" applyFill="1" applyBorder="1"/>
    <xf numFmtId="164" fontId="0" fillId="0" borderId="62" xfId="0" applyFont="1" applyFill="1" applyBorder="1"/>
    <xf numFmtId="164" fontId="0" fillId="0" borderId="73" xfId="0" applyFont="1" applyFill="1" applyBorder="1"/>
    <xf numFmtId="164" fontId="0" fillId="0" borderId="17" xfId="0" applyFont="1" applyFill="1" applyBorder="1"/>
    <xf numFmtId="9" fontId="0" fillId="0" borderId="62" xfId="0" applyNumberFormat="1" applyFont="1" applyFill="1" applyBorder="1"/>
    <xf numFmtId="9" fontId="0" fillId="0" borderId="63" xfId="0" applyNumberFormat="1" applyFont="1" applyFill="1" applyBorder="1"/>
    <xf numFmtId="164" fontId="0" fillId="0" borderId="65" xfId="0" applyFont="1" applyFill="1" applyBorder="1"/>
    <xf numFmtId="164" fontId="0" fillId="0" borderId="66" xfId="0" applyFont="1" applyFill="1" applyBorder="1"/>
    <xf numFmtId="164" fontId="0" fillId="0" borderId="64" xfId="0" applyFont="1" applyFill="1" applyBorder="1"/>
    <xf numFmtId="164" fontId="0" fillId="0" borderId="67" xfId="0" applyFont="1" applyFill="1" applyBorder="1"/>
    <xf numFmtId="3" fontId="0" fillId="0" borderId="61" xfId="0" applyNumberFormat="1" applyFont="1" applyFill="1" applyBorder="1"/>
    <xf numFmtId="3" fontId="0" fillId="0" borderId="66" xfId="0" applyNumberFormat="1" applyFont="1" applyFill="1" applyBorder="1"/>
    <xf numFmtId="3" fontId="0" fillId="0" borderId="65" xfId="0" applyNumberFormat="1" applyFont="1" applyFill="1" applyBorder="1"/>
    <xf numFmtId="3" fontId="0" fillId="0" borderId="68" xfId="0" applyNumberFormat="1" applyFont="1" applyFill="1" applyBorder="1"/>
    <xf numFmtId="3" fontId="0" fillId="0" borderId="0" xfId="0" applyNumberFormat="1" applyFont="1" applyFill="1" applyBorder="1"/>
    <xf numFmtId="3" fontId="0" fillId="0" borderId="69" xfId="0" applyNumberFormat="1" applyFont="1" applyFill="1" applyBorder="1"/>
    <xf numFmtId="3" fontId="0" fillId="0" borderId="74" xfId="0" applyNumberFormat="1" applyFont="1" applyFill="1" applyBorder="1"/>
    <xf numFmtId="3" fontId="0" fillId="0" borderId="50" xfId="0" applyNumberFormat="1" applyFont="1" applyFill="1" applyBorder="1"/>
    <xf numFmtId="3" fontId="0" fillId="0" borderId="75" xfId="0" applyNumberFormat="1" applyFont="1" applyFill="1" applyBorder="1"/>
    <xf numFmtId="3" fontId="0" fillId="0" borderId="70" xfId="0" applyNumberFormat="1" applyFont="1" applyFill="1" applyBorder="1"/>
    <xf numFmtId="3" fontId="0" fillId="0" borderId="71" xfId="0" applyNumberFormat="1" applyFont="1" applyFill="1" applyBorder="1"/>
    <xf numFmtId="3" fontId="0" fillId="0" borderId="72" xfId="0" applyNumberFormat="1" applyFont="1" applyFill="1" applyBorder="1"/>
    <xf numFmtId="3" fontId="0" fillId="0" borderId="45" xfId="0" applyNumberFormat="1" applyFont="1" applyFill="1" applyBorder="1"/>
    <xf numFmtId="3" fontId="0" fillId="0" borderId="18" xfId="0" applyNumberFormat="1" applyFont="1" applyFill="1" applyBorder="1"/>
    <xf numFmtId="3" fontId="0" fillId="0" borderId="76" xfId="0" applyNumberFormat="1" applyFont="1" applyFill="1" applyBorder="1"/>
    <xf numFmtId="3" fontId="0" fillId="0" borderId="77" xfId="0" applyNumberFormat="1" applyFont="1" applyFill="1" applyBorder="1"/>
    <xf numFmtId="164" fontId="0" fillId="0" borderId="78" xfId="0" applyFont="1" applyFill="1" applyBorder="1"/>
    <xf numFmtId="9" fontId="0" fillId="0" borderId="66" xfId="0" applyNumberFormat="1" applyFont="1" applyFill="1" applyBorder="1"/>
  </cellXfs>
  <cellStyles count="13">
    <cellStyle name="40% - Accent3 2" xfId="12" xr:uid="{3DA2A2B2-C52F-4AD1-9610-7AB73F4D7A98}"/>
    <cellStyle name="CalcNumNew" xfId="7" xr:uid="{00000000-0005-0000-0000-000000000000}"/>
    <cellStyle name="CalcNumOld" xfId="6" xr:uid="{00000000-0005-0000-0000-000001000000}"/>
    <cellStyle name="CalcPctNew" xfId="5" xr:uid="{00000000-0005-0000-0000-000002000000}"/>
    <cellStyle name="CalcPctOld" xfId="4" xr:uid="{00000000-0005-0000-0000-000003000000}"/>
    <cellStyle name="Comma 2" xfId="9" xr:uid="{7431BC62-2B01-4A1A-A85F-FFAA03AC9E0C}"/>
    <cellStyle name="Comma 3" xfId="10" xr:uid="{407C071B-BF1A-486B-AA0A-7F006C4A82DC}"/>
    <cellStyle name="DataNew" xfId="3" xr:uid="{00000000-0005-0000-0000-000004000000}"/>
    <cellStyle name="DataOld" xfId="2" xr:uid="{00000000-0005-0000-0000-000005000000}"/>
    <cellStyle name="DataOldLock" xfId="1" xr:uid="{00000000-0005-0000-0000-000006000000}"/>
    <cellStyle name="Normal" xfId="0" builtinId="0" customBuiltin="1"/>
    <cellStyle name="Normal 2" xfId="8" xr:uid="{DF6CD6A7-3813-4293-86D7-486BC52BD0B5}"/>
    <cellStyle name="Percent 2" xfId="11" xr:uid="{4033D3BC-3192-45AD-B4E2-C8F41A3C9F04}"/>
  </cellStyles>
  <dxfs count="3165">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font>
    </dxf>
    <dxf>
      <fill>
        <patternFill patternType="none">
          <bgColor auto="1"/>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color indexed="23"/>
      </font>
    </dxf>
    <dxf>
      <font>
        <color indexed="23"/>
      </font>
    </dxf>
    <dxf>
      <font>
        <color indexed="61"/>
      </font>
    </dxf>
    <dxf>
      <font>
        <color indexed="61"/>
      </font>
    </dxf>
    <dxf>
      <font>
        <color indexed="61"/>
      </font>
    </dxf>
    <dxf>
      <font>
        <color indexed="17"/>
      </font>
    </dxf>
    <dxf>
      <font>
        <color indexed="17"/>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medium">
          <color indexed="8"/>
        </bottom>
      </border>
    </dxf>
    <dxf>
      <border>
        <bottom style="medium">
          <color indexed="8"/>
        </bottom>
      </border>
    </dxf>
    <dxf>
      <border>
        <bottom style="medium">
          <color indexed="8"/>
        </bottom>
      </border>
    </dxf>
    <dxf>
      <border>
        <right/>
      </border>
    </dxf>
    <dxf>
      <border>
        <right/>
      </border>
    </dxf>
    <dxf>
      <border>
        <right/>
      </border>
    </dxf>
    <dxf>
      <border>
        <right/>
      </border>
    </dxf>
    <dxf>
      <border>
        <right/>
      </border>
    </dxf>
    <dxf>
      <border>
        <left style="thin">
          <color indexed="64"/>
        </left>
      </border>
    </dxf>
    <dxf>
      <border>
        <left style="thin">
          <color indexed="64"/>
        </left>
      </border>
    </dxf>
    <dxf>
      <border>
        <left style="thin">
          <color indexed="64"/>
        </left>
      </border>
    </dxf>
    <dxf>
      <font>
        <color auto="1"/>
      </font>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top style="thin">
          <color indexed="64"/>
        </top>
      </border>
    </dxf>
    <dxf>
      <border>
        <right style="thin">
          <color indexed="64"/>
        </right>
      </border>
    </dxf>
    <dxf>
      <border>
        <left/>
      </border>
    </dxf>
    <dxf>
      <border>
        <left/>
      </border>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font>
        <b val="0"/>
      </font>
    </dxf>
    <dxf>
      <font>
        <b val="0"/>
      </font>
    </dxf>
    <dxf>
      <font>
        <b val="0"/>
      </font>
    </dxf>
    <dxf>
      <font>
        <b val="0"/>
      </font>
    </dxf>
    <dxf>
      <font>
        <b/>
      </font>
    </dxf>
    <dxf>
      <border>
        <bottom style="thin">
          <color indexed="64"/>
        </bottom>
      </border>
    </dxf>
    <dxf>
      <numFmt numFmtId="166" formatCode="0.0%"/>
    </dxf>
    <dxf>
      <numFmt numFmtId="13" formatCode="0%"/>
    </dxf>
    <dxf>
      <numFmt numFmtId="13" formatCode="0%"/>
    </dxf>
    <dxf>
      <numFmt numFmtId="13" formatCode="0%"/>
    </dxf>
    <dxf>
      <font>
        <condense val="0"/>
        <extend val="0"/>
        <color indexed="10"/>
      </font>
    </dxf>
    <dxf>
      <font>
        <condense val="0"/>
        <extend val="0"/>
        <color indexed="10"/>
      </font>
    </dxf>
  </dxfs>
  <tableStyles count="0" defaultTableStyle="TableStyleMedium9" defaultPivotStyle="PivotStyleLight16"/>
  <colors>
    <mruColors>
      <color rgb="FF0066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a Datubo-Brown" refreshedDate="44237.522318981479" createdVersion="6" refreshedVersion="6" minRefreshableVersion="3" recordCount="528" xr:uid="{212A8323-C0DD-4D81-9C71-61CC726BFC4C}">
  <cacheSource type="worksheet">
    <worksheetSource ref="A6:AG534" sheet="05InstructionTypes"/>
  </cacheSource>
  <cacheFields count="74">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487162"/>
    </cacheField>
    <cacheField name="type" numFmtId="0">
      <sharedItems containsString="0" containsBlank="1" containsNumber="1" containsInteger="1" minValue="1" maxValue="99" count="17">
        <n v="1"/>
        <n v="2"/>
        <n v="3"/>
        <n v="4"/>
        <n v="5"/>
        <n v="6"/>
        <n v="8"/>
        <n v="9"/>
        <n v="10"/>
        <n v="12"/>
        <n v="13"/>
        <n v="15"/>
        <m/>
        <n v="7"/>
        <n v="14"/>
        <n v="99" u="1"/>
        <n v="16" u="1"/>
      </sharedItems>
      <fieldGroup par="70"/>
    </cacheField>
    <cacheField name="OLD-Tot UG SCH Calc" numFmtId="0">
      <sharedItems containsString="0" containsBlank="1" containsNumber="1" minValue="0" maxValue="1360384"/>
    </cacheField>
    <cacheField name="NEW-Tot UG SCH Calc" numFmtId="0">
      <sharedItems containsString="0" containsBlank="1" containsNumber="1" minValue="0" maxValue="1325305"/>
    </cacheField>
    <cacheField name="Old-UG OnC Trad" numFmtId="0">
      <sharedItems containsString="0" containsBlank="1" containsNumber="1" minValue="0" maxValue="1196201"/>
    </cacheField>
    <cacheField name="New-UG OnC Trad" numFmtId="0">
      <sharedItems containsString="0" containsBlank="1" containsNumber="1" minValue="0" maxValue="1148586"/>
    </cacheField>
    <cacheField name="Old-UG OffC Trad" numFmtId="0">
      <sharedItems containsString="0" containsBlank="1" containsNumber="1" minValue="0" maxValue="167494"/>
    </cacheField>
    <cacheField name="New-UG OffC Trad" numFmtId="0">
      <sharedItems containsString="0" containsBlank="1" containsNumber="1" minValue="0" maxValue="185023"/>
    </cacheField>
    <cacheField name="Old-UG EL Web" numFmtId="0">
      <sharedItems containsString="0" containsBlank="1" containsNumber="1" minValue="0" maxValue="780721"/>
    </cacheField>
    <cacheField name="Old-UG EL CV" numFmtId="0">
      <sharedItems containsString="0" containsBlank="1" containsNumber="1" minValue="0" maxValue="20816"/>
    </cacheField>
    <cacheField name="Old-UG EL O" numFmtId="0">
      <sharedItems containsString="0" containsBlank="1" containsNumber="1" containsInteger="1" minValue="0" maxValue="63946"/>
    </cacheField>
    <cacheField name="New-UG EL Web" numFmtId="0">
      <sharedItems containsString="0" containsBlank="1" containsNumber="1" minValue="0" maxValue="775584"/>
    </cacheField>
    <cacheField name="New-UG EL CV" numFmtId="0">
      <sharedItems containsBlank="1" containsMixedTypes="1" containsNumber="1" containsInteger="1" minValue="0" maxValue="18770"/>
    </cacheField>
    <cacheField name="New-UG EL O" numFmtId="0">
      <sharedItems containsString="0" containsBlank="1" containsNumber="1" containsInteger="1" minValue="0" maxValue="61836"/>
    </cacheField>
    <cacheField name="Old-UG Cor" numFmtId="0">
      <sharedItems containsString="0" containsBlank="1" containsNumber="1" containsInteger="1" minValue="0" maxValue="4393"/>
    </cacheField>
    <cacheField name="New-UG Cor" numFmtId="0">
      <sharedItems containsString="0" containsBlank="1" containsNumber="1" containsInteger="1" minValue="0" maxValue="5230"/>
    </cacheField>
    <cacheField name="Old-Tot G SCH Calc" numFmtId="0">
      <sharedItems containsString="0" containsBlank="1" containsNumber="1" minValue="0" maxValue="332827.5"/>
    </cacheField>
    <cacheField name="New-Tot G SCH Calc" numFmtId="0">
      <sharedItems containsString="0" containsBlank="1" containsNumber="1" minValue="0" maxValue="375905.5"/>
    </cacheField>
    <cacheField name="Old-G OnC Trad" numFmtId="0">
      <sharedItems containsString="0" containsBlank="1" containsNumber="1" minValue="0" maxValue="243173.5"/>
    </cacheField>
    <cacheField name="New-G OnC Trad" numFmtId="0">
      <sharedItems containsString="0" containsBlank="1" containsNumber="1" minValue="0" maxValue="248047.5"/>
    </cacheField>
    <cacheField name="Old-G OffC Trad" numFmtId="0">
      <sharedItems containsString="0" containsBlank="1" containsNumber="1" minValue="0" maxValue="87899"/>
    </cacheField>
    <cacheField name="New-G OffC Trad" numFmtId="0">
      <sharedItems containsString="0" containsBlank="1" containsNumber="1" minValue="0" maxValue="87822.5"/>
    </cacheField>
    <cacheField name="Old-G EL Web" numFmtId="0">
      <sharedItems containsString="0" containsBlank="1" containsNumber="1" minValue="0" maxValue="207295"/>
    </cacheField>
    <cacheField name="Old-G EL CV" numFmtId="0">
      <sharedItems containsString="0" containsBlank="1" containsNumber="1" minValue="0" maxValue="11983"/>
    </cacheField>
    <cacheField name="Old-G EL O" numFmtId="0">
      <sharedItems containsString="0" containsBlank="1" containsNumber="1" containsInteger="1" minValue="0" maxValue="3385"/>
    </cacheField>
    <cacheField name="New-G EL Web" numFmtId="0">
      <sharedItems containsString="0" containsBlank="1" containsNumber="1" minValue="0" maxValue="189549"/>
    </cacheField>
    <cacheField name="New-G EL CV" numFmtId="0">
      <sharedItems containsString="0" containsBlank="1" containsNumber="1" minValue="0" maxValue="10566"/>
    </cacheField>
    <cacheField name="New-G EL O" numFmtId="0">
      <sharedItems containsString="0" containsBlank="1" containsNumber="1" containsInteger="1" minValue="0" maxValue="2975"/>
    </cacheField>
    <cacheField name="Old-G Cor" numFmtId="0">
      <sharedItems containsString="0" containsBlank="1" containsNumber="1" containsInteger="1" minValue="0" maxValue="3161"/>
    </cacheField>
    <cacheField name="New-G Cor" numFmtId="0">
      <sharedItems containsString="0" containsBlank="1" containsNumber="1" containsInteger="1" minValue="0" maxValue="3101"/>
    </cacheField>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 name="type2" numFmtId="0" databaseField="0">
      <fieldGroup base="4">
        <discretePr count="17">
          <x v="3"/>
          <x v="3"/>
          <x v="3"/>
          <x v="3"/>
          <x v="3"/>
          <x v="3"/>
          <x v="4"/>
          <x v="4"/>
          <x v="4"/>
          <x v="5"/>
          <x v="5"/>
          <x v="3"/>
          <x v="6"/>
          <x v="4"/>
          <x v="1"/>
          <x v="0"/>
          <x v="2"/>
        </discretePr>
        <groupItems count="7">
          <n v="99"/>
          <n v="14"/>
          <n v="16"/>
          <s v="Group1"/>
          <s v="Group2"/>
          <s v="Group3"/>
          <m/>
        </groupItems>
      </fieldGroup>
    </cacheField>
    <cacheField name="Old %G OnC Trad" numFmtId="0" formula="IF('Old-Tot G SCH Calc'&gt;0,'Old-G OnC Trad'/'Old-Tot G SCH Calc',)" databaseField="0"/>
    <cacheField name="Old %G OffC Trad" numFmtId="0" formula="IF('Old-Tot G SCH Calc'&gt;0,'Old-G OffC Trad'/'Old-Tot G SCH Calc',)" databaseField="0"/>
    <cacheField name="Old %UG OffC Trad" numFmtId="0" formula="IF('OLD-Tot UG SCH Calc'&gt;0,'Old-UG OffC Trad'/'OLD-Tot UG SCH Calc',)"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8">
  <r>
    <x v="0"/>
    <s v="Auburn University"/>
    <m/>
    <n v="100858"/>
    <x v="0"/>
    <n v="725986"/>
    <n v="733944"/>
    <n v="670923"/>
    <n v="666491"/>
    <m/>
    <m/>
    <n v="55063"/>
    <m/>
    <m/>
    <n v="67453"/>
    <m/>
    <m/>
    <m/>
    <m/>
    <n v="109015"/>
    <n v="109527"/>
    <n v="83193"/>
    <n v="84611"/>
    <n v="2806"/>
    <n v="2883"/>
    <n v="23016"/>
    <m/>
    <m/>
    <n v="22033"/>
    <m/>
    <m/>
    <m/>
    <m/>
  </r>
  <r>
    <x v="0"/>
    <s v="University of Alabama "/>
    <m/>
    <n v="100751"/>
    <x v="0"/>
    <n v="934991"/>
    <n v="920491"/>
    <n v="832125"/>
    <n v="778527"/>
    <n v="12267"/>
    <n v="23251"/>
    <n v="89392"/>
    <n v="1207"/>
    <m/>
    <n v="117238"/>
    <n v="1475"/>
    <m/>
    <m/>
    <m/>
    <n v="99520"/>
    <n v="99694"/>
    <n v="73005"/>
    <n v="66672"/>
    <n v="4596"/>
    <n v="10499"/>
    <n v="21601"/>
    <n v="318"/>
    <m/>
    <n v="22106"/>
    <n v="417"/>
    <m/>
    <m/>
    <m/>
  </r>
  <r>
    <x v="0"/>
    <s v="University of Alabama at Birmingham"/>
    <m/>
    <n v="100663"/>
    <x v="0"/>
    <n v="315909"/>
    <n v="319006"/>
    <n v="215981"/>
    <n v="212012"/>
    <n v="51"/>
    <n v="48"/>
    <n v="99835"/>
    <n v="42"/>
    <m/>
    <n v="106946"/>
    <m/>
    <m/>
    <m/>
    <m/>
    <n v="55209"/>
    <n v="56545"/>
    <n v="31524"/>
    <n v="31631"/>
    <n v="54"/>
    <m/>
    <n v="23535"/>
    <n v="96"/>
    <m/>
    <n v="24866"/>
    <n v="48"/>
    <m/>
    <m/>
    <m/>
  </r>
  <r>
    <x v="0"/>
    <s v="University of Alabama in Huntsville"/>
    <s v="Met the criteria for Four-Year 3 in 2018-19 and 2019-20."/>
    <n v="100706"/>
    <x v="1"/>
    <n v="202213"/>
    <n v="216491"/>
    <n v="185753"/>
    <n v="190806"/>
    <m/>
    <m/>
    <n v="16460"/>
    <m/>
    <m/>
    <n v="25685"/>
    <m/>
    <m/>
    <m/>
    <m/>
    <n v="31627"/>
    <n v="31260"/>
    <n v="21545"/>
    <n v="20522"/>
    <m/>
    <m/>
    <n v="10082"/>
    <m/>
    <m/>
    <n v="10738"/>
    <m/>
    <m/>
    <m/>
    <m/>
  </r>
  <r>
    <x v="0"/>
    <s v="University of South Alabama"/>
    <m/>
    <n v="102094"/>
    <x v="1"/>
    <n v="264746"/>
    <n v="248309"/>
    <n v="222892"/>
    <n v="205654"/>
    <n v="398"/>
    <n v="434"/>
    <n v="41456"/>
    <m/>
    <m/>
    <n v="42221"/>
    <m/>
    <m/>
    <m/>
    <m/>
    <n v="16420"/>
    <n v="17354"/>
    <n v="11718"/>
    <n v="12177"/>
    <m/>
    <m/>
    <n v="4702"/>
    <m/>
    <m/>
    <n v="5177"/>
    <m/>
    <m/>
    <m/>
    <m/>
  </r>
  <r>
    <x v="0"/>
    <s v="Alabama Agricultural &amp; Mechanical University"/>
    <m/>
    <n v="100654"/>
    <x v="2"/>
    <n v="151518"/>
    <n v="164444"/>
    <n v="141101"/>
    <n v="149416"/>
    <n v="327"/>
    <n v="230"/>
    <n v="10090"/>
    <m/>
    <m/>
    <n v="14798"/>
    <m/>
    <m/>
    <m/>
    <m/>
    <n v="18386"/>
    <n v="19389"/>
    <n v="14379"/>
    <n v="15646"/>
    <n v="613"/>
    <n v="885"/>
    <n v="3394"/>
    <m/>
    <m/>
    <n v="2858"/>
    <m/>
    <m/>
    <m/>
    <m/>
  </r>
  <r>
    <x v="0"/>
    <s v="Jacksonville State University "/>
    <m/>
    <n v="101480"/>
    <x v="2"/>
    <n v="187929"/>
    <n v="198998"/>
    <n v="123309"/>
    <n v="135581"/>
    <n v="2454"/>
    <n v="2456"/>
    <n v="61893"/>
    <n v="273"/>
    <n v="0"/>
    <n v="60949"/>
    <n v="12"/>
    <m/>
    <m/>
    <m/>
    <n v="18018"/>
    <n v="20208"/>
    <n v="3572"/>
    <n v="6709"/>
    <n v="3"/>
    <m/>
    <n v="14431"/>
    <n v="12"/>
    <m/>
    <n v="13499"/>
    <m/>
    <m/>
    <m/>
    <m/>
  </r>
  <r>
    <x v="0"/>
    <s v="Troy University"/>
    <m/>
    <n v="102368"/>
    <x v="2"/>
    <n v="279461"/>
    <n v="288654"/>
    <n v="200406"/>
    <n v="186423"/>
    <n v="0"/>
    <n v="0"/>
    <n v="69624"/>
    <n v="0"/>
    <n v="9431"/>
    <n v="93437"/>
    <n v="8794"/>
    <m/>
    <m/>
    <m/>
    <n v="32842"/>
    <n v="37811"/>
    <n v="14965"/>
    <n v="13317"/>
    <m/>
    <m/>
    <n v="16467"/>
    <m/>
    <n v="1410"/>
    <n v="22784"/>
    <m/>
    <n v="1710"/>
    <n v="0"/>
    <m/>
  </r>
  <r>
    <x v="0"/>
    <s v="University of North Alabama"/>
    <m/>
    <n v="101879"/>
    <x v="2"/>
    <n v="161333"/>
    <n v="162108"/>
    <n v="121400"/>
    <n v="114377"/>
    <m/>
    <m/>
    <n v="39933"/>
    <m/>
    <m/>
    <n v="47731"/>
    <m/>
    <m/>
    <m/>
    <m/>
    <n v="19826"/>
    <n v="23044"/>
    <n v="3941"/>
    <n v="3699"/>
    <m/>
    <m/>
    <n v="15885"/>
    <m/>
    <m/>
    <n v="19345"/>
    <m/>
    <m/>
    <m/>
    <m/>
  </r>
  <r>
    <x v="0"/>
    <s v="Alabama State University "/>
    <m/>
    <n v="100724"/>
    <x v="3"/>
    <n v="121235"/>
    <n v="112278"/>
    <n v="102560"/>
    <n v="93348"/>
    <n v="0"/>
    <m/>
    <n v="18675"/>
    <m/>
    <m/>
    <n v="18930"/>
    <m/>
    <m/>
    <m/>
    <m/>
    <n v="13087"/>
    <n v="12035"/>
    <n v="10787"/>
    <n v="9993"/>
    <m/>
    <m/>
    <n v="2300"/>
    <m/>
    <m/>
    <n v="2042"/>
    <m/>
    <m/>
    <m/>
    <m/>
  </r>
  <r>
    <x v="0"/>
    <s v="Auburn University at Montgomery"/>
    <s v="Met the criteria for Four-Year 3 in 2018-19 and 2019-20."/>
    <n v="100830"/>
    <x v="3"/>
    <n v="116195"/>
    <n v="117670"/>
    <n v="87749"/>
    <n v="88208"/>
    <n v="444"/>
    <n v="749"/>
    <n v="28002"/>
    <m/>
    <m/>
    <n v="28713"/>
    <m/>
    <m/>
    <m/>
    <m/>
    <n v="9931"/>
    <n v="10996"/>
    <n v="3656"/>
    <n v="4928"/>
    <n v="45"/>
    <n v="87"/>
    <n v="6230"/>
    <m/>
    <m/>
    <n v="5981"/>
    <m/>
    <m/>
    <m/>
    <m/>
  </r>
  <r>
    <x v="0"/>
    <s v="University of Montevallo"/>
    <m/>
    <n v="101709"/>
    <x v="4"/>
    <n v="64266"/>
    <n v="61935"/>
    <n v="59364"/>
    <n v="55743"/>
    <n v="0"/>
    <n v="0"/>
    <n v="4902"/>
    <m/>
    <m/>
    <n v="6192"/>
    <m/>
    <m/>
    <m/>
    <m/>
    <n v="6575"/>
    <n v="5966"/>
    <n v="4886"/>
    <n v="4119"/>
    <n v="610"/>
    <n v="628"/>
    <n v="1079"/>
    <m/>
    <m/>
    <n v="1219"/>
    <m/>
    <m/>
    <m/>
    <m/>
  </r>
  <r>
    <x v="0"/>
    <s v="University of West Alabama"/>
    <s v="Met the criteria for Four-Year 4 in 2018-19 and 2019-20."/>
    <n v="101587"/>
    <x v="4"/>
    <n v="60646"/>
    <n v="63456"/>
    <n v="46921"/>
    <n v="41663"/>
    <n v="370"/>
    <n v="243"/>
    <n v="13355"/>
    <m/>
    <m/>
    <n v="21550"/>
    <m/>
    <m/>
    <m/>
    <m/>
    <n v="54056"/>
    <n v="65170"/>
    <n v="1026"/>
    <n v="935"/>
    <m/>
    <m/>
    <n v="53030"/>
    <m/>
    <m/>
    <n v="64235"/>
    <m/>
    <m/>
    <m/>
    <m/>
  </r>
  <r>
    <x v="0"/>
    <s v="Athens State University"/>
    <s v="Met the criteria for Four-Year 5 in 2019-20."/>
    <s v="100812"/>
    <x v="5"/>
    <n v="65486"/>
    <n v="64093"/>
    <n v="10766"/>
    <n v="9799"/>
    <n v="1707"/>
    <n v="1717"/>
    <n v="53013"/>
    <m/>
    <m/>
    <n v="52577"/>
    <m/>
    <m/>
    <m/>
    <m/>
    <n v="2376"/>
    <n v="2415"/>
    <n v="30"/>
    <n v="15"/>
    <m/>
    <m/>
    <n v="2346"/>
    <m/>
    <m/>
    <n v="2400"/>
    <m/>
    <m/>
    <m/>
    <m/>
  </r>
  <r>
    <x v="0"/>
    <s v="Jefferson State Community College"/>
    <m/>
    <n v="101505"/>
    <x v="6"/>
    <n v="170953"/>
    <n v="166336"/>
    <n v="84195"/>
    <n v="94587"/>
    <n v="25612"/>
    <n v="12109"/>
    <n v="59403"/>
    <n v="1743"/>
    <m/>
    <n v="57920"/>
    <n v="1094"/>
    <n v="626"/>
    <m/>
    <m/>
    <n v="0"/>
    <n v="0"/>
    <m/>
    <m/>
    <m/>
    <m/>
    <m/>
    <m/>
    <m/>
    <m/>
    <m/>
    <m/>
    <m/>
    <m/>
  </r>
  <r>
    <x v="0"/>
    <s v="John C. Calhoun Community College "/>
    <m/>
    <n v="101514"/>
    <x v="6"/>
    <n v="195805"/>
    <n v="194864"/>
    <n v="125687"/>
    <n v="124273"/>
    <n v="0"/>
    <m/>
    <n v="70118"/>
    <m/>
    <m/>
    <n v="70591"/>
    <m/>
    <m/>
    <m/>
    <m/>
    <n v="0"/>
    <n v="0"/>
    <m/>
    <m/>
    <m/>
    <m/>
    <m/>
    <m/>
    <m/>
    <m/>
    <m/>
    <m/>
    <m/>
    <m/>
  </r>
  <r>
    <x v="0"/>
    <s v="Bevill State Community College"/>
    <m/>
    <n v="102429"/>
    <x v="7"/>
    <n v="84082"/>
    <n v="80435"/>
    <n v="57077"/>
    <n v="49485"/>
    <n v="5957"/>
    <n v="5185"/>
    <n v="17996"/>
    <n v="3052"/>
    <m/>
    <n v="22659"/>
    <n v="3106"/>
    <m/>
    <m/>
    <m/>
    <n v="0"/>
    <n v="0"/>
    <m/>
    <m/>
    <m/>
    <m/>
    <m/>
    <m/>
    <m/>
    <m/>
    <m/>
    <m/>
    <m/>
    <m/>
  </r>
  <r>
    <x v="0"/>
    <s v="Bishop State Community College"/>
    <m/>
    <n v="102030"/>
    <x v="7"/>
    <n v="67163"/>
    <n v="65158"/>
    <n v="58891"/>
    <n v="51733"/>
    <n v="177"/>
    <n v="177"/>
    <n v="4691"/>
    <m/>
    <n v="3404"/>
    <n v="4938"/>
    <m/>
    <n v="8310"/>
    <m/>
    <m/>
    <n v="0"/>
    <n v="0"/>
    <m/>
    <m/>
    <m/>
    <m/>
    <m/>
    <m/>
    <m/>
    <m/>
    <m/>
    <m/>
    <m/>
    <m/>
  </r>
  <r>
    <x v="0"/>
    <s v="Gadsden State Community College"/>
    <m/>
    <n v="101240"/>
    <x v="7"/>
    <n v="110220"/>
    <n v="109083"/>
    <n v="78494"/>
    <n v="75226"/>
    <n v="0"/>
    <m/>
    <n v="31726"/>
    <m/>
    <m/>
    <n v="33857"/>
    <m/>
    <m/>
    <m/>
    <m/>
    <n v="0"/>
    <n v="0"/>
    <m/>
    <m/>
    <m/>
    <m/>
    <m/>
    <m/>
    <m/>
    <m/>
    <m/>
    <m/>
    <m/>
    <m/>
  </r>
  <r>
    <x v="0"/>
    <s v="George C. Wallace Community College-Dothan"/>
    <m/>
    <n v="101286"/>
    <x v="7"/>
    <n v="99907"/>
    <n v="96830"/>
    <n v="65488"/>
    <n v="64129"/>
    <n v="7511"/>
    <n v="6557"/>
    <n v="26908"/>
    <m/>
    <m/>
    <n v="26144"/>
    <m/>
    <m/>
    <m/>
    <m/>
    <n v="0"/>
    <n v="0"/>
    <m/>
    <m/>
    <m/>
    <m/>
    <m/>
    <m/>
    <m/>
    <m/>
    <m/>
    <m/>
    <m/>
    <m/>
  </r>
  <r>
    <x v="0"/>
    <s v="George C. Wallace State Community College-Hanceville"/>
    <m/>
    <n v="101295"/>
    <x v="7"/>
    <n v="125344"/>
    <n v="124962"/>
    <n v="90928"/>
    <n v="88992"/>
    <n v="0"/>
    <m/>
    <n v="34416"/>
    <m/>
    <m/>
    <n v="35970"/>
    <m/>
    <m/>
    <m/>
    <m/>
    <n v="0"/>
    <n v="0"/>
    <m/>
    <m/>
    <m/>
    <m/>
    <m/>
    <m/>
    <m/>
    <m/>
    <m/>
    <m/>
    <m/>
    <m/>
  </r>
  <r>
    <x v="0"/>
    <s v="Coastal Alabama Community College"/>
    <s v="Met the criteria for Two-Year 1 in 2018-19 and 2019-20."/>
    <n v="101161"/>
    <x v="7"/>
    <n v="168682"/>
    <n v="168831"/>
    <n v="60108"/>
    <n v="56990"/>
    <n v="52443"/>
    <n v="52723"/>
    <n v="56131"/>
    <m/>
    <m/>
    <n v="58869"/>
    <n v="249"/>
    <m/>
    <m/>
    <m/>
    <n v="0"/>
    <n v="0"/>
    <m/>
    <m/>
    <m/>
    <m/>
    <m/>
    <m/>
    <m/>
    <m/>
    <m/>
    <m/>
    <m/>
    <m/>
  </r>
  <r>
    <x v="0"/>
    <s v="Lawson State Community College "/>
    <m/>
    <n v="101569"/>
    <x v="7"/>
    <n v="76197"/>
    <n v="76316"/>
    <n v="65262"/>
    <n v="63768"/>
    <n v="2047"/>
    <n v="1280"/>
    <n v="8888"/>
    <m/>
    <m/>
    <n v="11268"/>
    <m/>
    <m/>
    <m/>
    <m/>
    <n v="0"/>
    <n v="0"/>
    <m/>
    <m/>
    <m/>
    <m/>
    <m/>
    <m/>
    <m/>
    <m/>
    <m/>
    <m/>
    <m/>
    <m/>
  </r>
  <r>
    <x v="0"/>
    <s v="Northwest-Shoals Community College"/>
    <m/>
    <n v="101736"/>
    <x v="7"/>
    <n v="66705"/>
    <n v="66363"/>
    <n v="50727"/>
    <n v="50394"/>
    <n v="33"/>
    <n v="21"/>
    <n v="15214"/>
    <n v="731"/>
    <m/>
    <n v="15809"/>
    <n v="139"/>
    <m/>
    <m/>
    <m/>
    <n v="0"/>
    <n v="0"/>
    <m/>
    <m/>
    <m/>
    <m/>
    <m/>
    <m/>
    <m/>
    <m/>
    <m/>
    <m/>
    <m/>
    <m/>
  </r>
  <r>
    <x v="0"/>
    <s v="Shelton State Community College"/>
    <m/>
    <n v="102067"/>
    <x v="7"/>
    <n v="104563"/>
    <n v="102213"/>
    <n v="81754"/>
    <n v="75398"/>
    <n v="0"/>
    <m/>
    <n v="22809"/>
    <m/>
    <m/>
    <n v="26815"/>
    <m/>
    <m/>
    <m/>
    <m/>
    <n v="0"/>
    <n v="0"/>
    <m/>
    <m/>
    <m/>
    <m/>
    <m/>
    <m/>
    <m/>
    <m/>
    <m/>
    <m/>
    <m/>
    <m/>
  </r>
  <r>
    <x v="0"/>
    <s v="Southern Union State Community College"/>
    <m/>
    <n v="251260"/>
    <x v="7"/>
    <n v="113983"/>
    <n v="112562"/>
    <n v="13942"/>
    <n v="12881"/>
    <n v="77232"/>
    <n v="75163"/>
    <n v="22809"/>
    <m/>
    <m/>
    <n v="24518"/>
    <m/>
    <m/>
    <m/>
    <m/>
    <n v="0"/>
    <n v="0"/>
    <m/>
    <m/>
    <m/>
    <m/>
    <m/>
    <m/>
    <m/>
    <m/>
    <m/>
    <m/>
    <m/>
    <m/>
  </r>
  <r>
    <x v="0"/>
    <s v="Central Alabama Community College"/>
    <m/>
    <n v="100760"/>
    <x v="8"/>
    <n v="36381"/>
    <n v="34709"/>
    <n v="24212"/>
    <n v="23021"/>
    <n v="0"/>
    <m/>
    <n v="12169"/>
    <m/>
    <m/>
    <n v="11688"/>
    <m/>
    <m/>
    <m/>
    <m/>
    <n v="0"/>
    <n v="0"/>
    <m/>
    <m/>
    <m/>
    <m/>
    <m/>
    <m/>
    <m/>
    <m/>
    <m/>
    <m/>
    <m/>
    <m/>
  </r>
  <r>
    <x v="0"/>
    <s v="Chattahoochee Valley Community College"/>
    <m/>
    <n v="101028"/>
    <x v="8"/>
    <n v="37941"/>
    <n v="39038"/>
    <n v="32053"/>
    <n v="32324"/>
    <n v="213"/>
    <n v="160"/>
    <n v="5675"/>
    <m/>
    <m/>
    <n v="6554"/>
    <m/>
    <m/>
    <m/>
    <m/>
    <n v="0"/>
    <n v="0"/>
    <m/>
    <m/>
    <m/>
    <m/>
    <m/>
    <m/>
    <m/>
    <m/>
    <m/>
    <m/>
    <m/>
    <m/>
  </r>
  <r>
    <x v="0"/>
    <s v="Enterprise State Community College"/>
    <m/>
    <n v="101143"/>
    <x v="8"/>
    <n v="38860"/>
    <n v="41515"/>
    <n v="28173"/>
    <n v="30241"/>
    <n v="0"/>
    <n v="50"/>
    <n v="10687"/>
    <m/>
    <m/>
    <n v="11224"/>
    <m/>
    <m/>
    <m/>
    <m/>
    <n v="0"/>
    <n v="0"/>
    <m/>
    <m/>
    <m/>
    <m/>
    <m/>
    <m/>
    <m/>
    <m/>
    <m/>
    <m/>
    <m/>
    <m/>
  </r>
  <r>
    <x v="0"/>
    <s v="George Corley Wallace State Community College - Selma"/>
    <m/>
    <n v="101301"/>
    <x v="8"/>
    <n v="39404"/>
    <n v="36616"/>
    <n v="24188"/>
    <n v="23813"/>
    <n v="0"/>
    <m/>
    <n v="15216"/>
    <m/>
    <m/>
    <n v="12803"/>
    <m/>
    <m/>
    <m/>
    <m/>
    <n v="0"/>
    <n v="0"/>
    <m/>
    <m/>
    <m/>
    <m/>
    <m/>
    <m/>
    <m/>
    <m/>
    <m/>
    <m/>
    <m/>
    <m/>
  </r>
  <r>
    <x v="0"/>
    <s v="Lurleen B. Wallace Community College "/>
    <m/>
    <n v="101602"/>
    <x v="8"/>
    <n v="41406"/>
    <n v="38795"/>
    <n v="27105"/>
    <n v="23720"/>
    <n v="1544"/>
    <n v="1360"/>
    <n v="12757"/>
    <m/>
    <m/>
    <n v="13715"/>
    <m/>
    <m/>
    <m/>
    <m/>
    <n v="0"/>
    <n v="0"/>
    <m/>
    <m/>
    <m/>
    <m/>
    <m/>
    <m/>
    <m/>
    <m/>
    <m/>
    <m/>
    <m/>
    <m/>
  </r>
  <r>
    <x v="0"/>
    <s v="Northeast Alabama Community College"/>
    <s v="Met the criteria for Two-Year 2 in 2018-19 and 2019-20."/>
    <n v="101897"/>
    <x v="8"/>
    <n v="60811"/>
    <n v="61464"/>
    <n v="35406"/>
    <n v="32121"/>
    <n v="4949"/>
    <n v="5760"/>
    <n v="20456"/>
    <m/>
    <m/>
    <n v="23583"/>
    <m/>
    <m/>
    <m/>
    <m/>
    <n v="0"/>
    <n v="0"/>
    <m/>
    <m/>
    <m/>
    <m/>
    <m/>
    <m/>
    <m/>
    <m/>
    <m/>
    <m/>
    <m/>
    <m/>
  </r>
  <r>
    <x v="0"/>
    <s v="Snead State Community College "/>
    <s v="Met the criteria for Two-Year 2 in 2018-19 and 2019-20."/>
    <n v="102076"/>
    <x v="8"/>
    <n v="60358"/>
    <n v="60177"/>
    <n v="24299"/>
    <n v="23985"/>
    <n v="0"/>
    <m/>
    <n v="36059"/>
    <m/>
    <m/>
    <n v="36192"/>
    <m/>
    <m/>
    <m/>
    <m/>
    <n v="0"/>
    <n v="0"/>
    <m/>
    <m/>
    <m/>
    <m/>
    <m/>
    <m/>
    <m/>
    <m/>
    <m/>
    <m/>
    <m/>
    <m/>
  </r>
  <r>
    <x v="0"/>
    <s v="H. Councill Trenholm State Community College"/>
    <m/>
    <n v="102313"/>
    <x v="9"/>
    <n v="41951"/>
    <n v="44337"/>
    <n v="36519"/>
    <n v="36188"/>
    <n v="1815"/>
    <n v="1603"/>
    <n v="3617"/>
    <m/>
    <m/>
    <n v="6546"/>
    <m/>
    <m/>
    <m/>
    <m/>
    <n v="0"/>
    <n v="0"/>
    <m/>
    <m/>
    <m/>
    <m/>
    <m/>
    <m/>
    <m/>
    <m/>
    <m/>
    <m/>
    <m/>
    <m/>
  </r>
  <r>
    <x v="0"/>
    <s v="J.F. Drake State Community and Technical College"/>
    <m/>
    <n v="101462"/>
    <x v="10"/>
    <n v="17250"/>
    <n v="16002"/>
    <n v="11613"/>
    <n v="10532"/>
    <n v="212"/>
    <n v="73"/>
    <n v="5425"/>
    <m/>
    <m/>
    <n v="5397"/>
    <m/>
    <m/>
    <m/>
    <m/>
    <n v="0"/>
    <n v="0"/>
    <m/>
    <m/>
    <m/>
    <m/>
    <m/>
    <m/>
    <m/>
    <m/>
    <m/>
    <m/>
    <m/>
    <m/>
  </r>
  <r>
    <x v="0"/>
    <s v="J.F. Ingram State Technical College "/>
    <m/>
    <n v="101471"/>
    <x v="10"/>
    <n v="14994"/>
    <n v="18353"/>
    <n v="14994"/>
    <n v="18213"/>
    <n v="0"/>
    <n v="140"/>
    <n v="0"/>
    <m/>
    <m/>
    <m/>
    <m/>
    <m/>
    <m/>
    <m/>
    <n v="0"/>
    <n v="0"/>
    <m/>
    <m/>
    <m/>
    <m/>
    <m/>
    <m/>
    <m/>
    <m/>
    <m/>
    <m/>
    <m/>
    <m/>
  </r>
  <r>
    <x v="0"/>
    <s v="Reid State Technical College "/>
    <m/>
    <n v="101994"/>
    <x v="10"/>
    <n v="8717"/>
    <n v="10760"/>
    <n v="6803"/>
    <n v="7950"/>
    <n v="1887"/>
    <n v="2810"/>
    <n v="27"/>
    <m/>
    <m/>
    <m/>
    <m/>
    <m/>
    <m/>
    <m/>
    <n v="0"/>
    <n v="0"/>
    <m/>
    <m/>
    <m/>
    <m/>
    <m/>
    <m/>
    <m/>
    <m/>
    <m/>
    <m/>
    <m/>
    <m/>
  </r>
  <r>
    <x v="0"/>
    <s v="Marion Military Institute"/>
    <m/>
    <n v="101648"/>
    <x v="11"/>
    <n v="13456"/>
    <n v="12854"/>
    <n v="13272"/>
    <n v="12405"/>
    <n v="0"/>
    <m/>
    <n v="184"/>
    <m/>
    <m/>
    <n v="449"/>
    <m/>
    <m/>
    <m/>
    <m/>
    <n v="0"/>
    <n v="0"/>
    <m/>
    <m/>
    <m/>
    <m/>
    <m/>
    <m/>
    <m/>
    <m/>
    <m/>
    <m/>
    <m/>
    <m/>
  </r>
  <r>
    <x v="1"/>
    <s v="University of Arkansas, Fayetteville"/>
    <m/>
    <n v="106397"/>
    <x v="0"/>
    <n v="658267"/>
    <n v="670354"/>
    <n v="586848"/>
    <n v="593342"/>
    <n v="8301"/>
    <n v="9131"/>
    <n v="58649"/>
    <n v="356"/>
    <n v="27"/>
    <n v="64712"/>
    <n v="520"/>
    <n v="0"/>
    <n v="4086"/>
    <n v="2649"/>
    <n v="79091"/>
    <n v="76358"/>
    <n v="53073"/>
    <n v="50823"/>
    <n v="556"/>
    <n v="569"/>
    <n v="25272"/>
    <n v="30"/>
    <n v="0"/>
    <n v="24930"/>
    <n v="36"/>
    <n v="0"/>
    <n v="160"/>
    <n v="0"/>
  </r>
  <r>
    <x v="1"/>
    <s v="University of Arkansas at Little Rock"/>
    <m/>
    <n v="106245"/>
    <x v="1"/>
    <n v="203956"/>
    <n v="168675"/>
    <n v="105993"/>
    <n v="95402"/>
    <n v="25264"/>
    <n v="2184"/>
    <n v="72603"/>
    <n v="0"/>
    <n v="0"/>
    <n v="71089"/>
    <n v="0"/>
    <n v="0"/>
    <n v="96"/>
    <n v="0"/>
    <n v="42678"/>
    <n v="41407"/>
    <n v="29534"/>
    <n v="18279"/>
    <n v="665"/>
    <n v="11250"/>
    <n v="12446"/>
    <n v="0"/>
    <n v="0"/>
    <n v="11878"/>
    <n v="0"/>
    <n v="0"/>
    <n v="33"/>
    <n v="0"/>
  </r>
  <r>
    <x v="1"/>
    <s v="Arkansas State University"/>
    <m/>
    <n v="106458"/>
    <x v="2"/>
    <n v="259951"/>
    <n v="254704"/>
    <n v="164056"/>
    <n v="162754"/>
    <n v="16221"/>
    <n v="14272"/>
    <n v="78616"/>
    <n v="987"/>
    <n v="0"/>
    <n v="76767"/>
    <n v="911"/>
    <n v="0"/>
    <n v="71"/>
    <n v="0"/>
    <n v="99847"/>
    <n v="102096"/>
    <n v="21978"/>
    <n v="21707"/>
    <n v="6"/>
    <n v="54"/>
    <n v="77833"/>
    <n v="0"/>
    <n v="15"/>
    <n v="80335"/>
    <n v="0"/>
    <n v="0"/>
    <n v="15"/>
    <n v="0"/>
  </r>
  <r>
    <x v="1"/>
    <s v="Arkansas Tech University"/>
    <m/>
    <n v="106467"/>
    <x v="2"/>
    <n v="243727"/>
    <n v="240784"/>
    <n v="161776"/>
    <n v="153615"/>
    <n v="17997"/>
    <n v="19130"/>
    <n v="61999"/>
    <n v="0"/>
    <n v="1955"/>
    <n v="65366"/>
    <n v="0"/>
    <n v="2673"/>
    <n v="0"/>
    <n v="0"/>
    <n v="15860"/>
    <n v="14102"/>
    <n v="5220"/>
    <n v="3656"/>
    <n v="150"/>
    <n v="138"/>
    <n v="9793"/>
    <n v="0"/>
    <n v="697"/>
    <n v="9864"/>
    <n v="0"/>
    <n v="444"/>
    <n v="0"/>
    <n v="0"/>
  </r>
  <r>
    <x v="1"/>
    <s v="University of Central Arkansas "/>
    <m/>
    <n v="106704"/>
    <x v="2"/>
    <n v="262529"/>
    <n v="260689"/>
    <n v="231454"/>
    <n v="225366"/>
    <n v="4324"/>
    <n v="4325"/>
    <n v="26355"/>
    <n v="378"/>
    <n v="0"/>
    <n v="30653"/>
    <n v="303"/>
    <n v="42"/>
    <n v="18"/>
    <n v="0"/>
    <n v="36613"/>
    <n v="36559"/>
    <n v="20558"/>
    <n v="20314"/>
    <n v="0"/>
    <n v="33"/>
    <n v="11806"/>
    <n v="4249"/>
    <n v="0"/>
    <n v="13690"/>
    <n v="2376"/>
    <n v="146"/>
    <n v="0"/>
    <n v="0"/>
  </r>
  <r>
    <x v="1"/>
    <s v="Henderson State University"/>
    <m/>
    <n v="107071"/>
    <x v="3"/>
    <n v="83324"/>
    <n v="92003"/>
    <n v="64997"/>
    <n v="68475"/>
    <n v="1824"/>
    <n v="5333"/>
    <n v="16358"/>
    <n v="0"/>
    <n v="0"/>
    <n v="18195"/>
    <n v="0"/>
    <n v="0"/>
    <n v="145"/>
    <n v="0"/>
    <n v="7674"/>
    <n v="9983"/>
    <n v="2179"/>
    <n v="2364"/>
    <n v="129"/>
    <n v="281"/>
    <n v="5357"/>
    <n v="0"/>
    <n v="0"/>
    <n v="7338"/>
    <n v="0"/>
    <n v="0"/>
    <n v="9"/>
    <n v="0"/>
  </r>
  <r>
    <x v="1"/>
    <s v="Southern Arkansas University"/>
    <m/>
    <n v="107983"/>
    <x v="3"/>
    <n v="96189"/>
    <n v="98051"/>
    <n v="75130"/>
    <n v="75939"/>
    <n v="1995"/>
    <n v="1829"/>
    <n v="19064"/>
    <n v="0"/>
    <n v="0"/>
    <n v="20283"/>
    <n v="0"/>
    <n v="0"/>
    <n v="0"/>
    <n v="0"/>
    <n v="17821"/>
    <n v="15027"/>
    <n v="1578"/>
    <n v="1782"/>
    <n v="2455"/>
    <n v="492"/>
    <n v="13788"/>
    <n v="0"/>
    <n v="0"/>
    <n v="12753"/>
    <n v="0"/>
    <n v="0"/>
    <n v="0"/>
    <n v="0"/>
  </r>
  <r>
    <x v="1"/>
    <s v="University of Arkansas at Monticello"/>
    <s v="Reclassified: Met the criteria for Four-Year 4 in 2017-18, 2018-19, and 2019-20."/>
    <n v="106485"/>
    <x v="3"/>
    <n v="78724"/>
    <n v="70020"/>
    <n v="49046"/>
    <n v="43802"/>
    <n v="10739"/>
    <n v="11003"/>
    <n v="18336"/>
    <n v="3"/>
    <n v="0"/>
    <n v="15215"/>
    <n v="0"/>
    <n v="0"/>
    <n v="600"/>
    <n v="0"/>
    <n v="5987"/>
    <n v="6579"/>
    <n v="979"/>
    <n v="1107"/>
    <m/>
    <m/>
    <n v="5008"/>
    <n v="0"/>
    <n v="0"/>
    <n v="5472"/>
    <n v="0"/>
    <n v="0"/>
    <n v="0"/>
    <n v="0"/>
  </r>
  <r>
    <x v="1"/>
    <s v="University of Arkansas at Fort Smith"/>
    <m/>
    <n v="108092"/>
    <x v="5"/>
    <n v="157956"/>
    <n v="156537"/>
    <n v="105474"/>
    <n v="97365"/>
    <n v="12470"/>
    <n v="15998"/>
    <n v="40012"/>
    <n v="0"/>
    <n v="0"/>
    <n v="43162"/>
    <n v="12"/>
    <n v="0"/>
    <n v="0"/>
    <n v="0"/>
    <n v="231"/>
    <n v="464"/>
    <n v="0"/>
    <n v="0"/>
    <m/>
    <m/>
    <n v="231"/>
    <n v="0"/>
    <n v="0"/>
    <n v="464"/>
    <n v="0"/>
    <n v="0"/>
    <n v="0"/>
    <n v="0"/>
  </r>
  <r>
    <x v="1"/>
    <s v="University of Arkansas at Pine Bluff"/>
    <m/>
    <n v="106412"/>
    <x v="5"/>
    <n v="72699"/>
    <n v="70595"/>
    <n v="59360"/>
    <n v="56940"/>
    <n v="108"/>
    <n v="50"/>
    <n v="13231"/>
    <n v="0"/>
    <n v="0"/>
    <n v="13605"/>
    <n v="0"/>
    <n v="0"/>
    <n v="0"/>
    <n v="0"/>
    <n v="1493"/>
    <n v="1663"/>
    <n v="1160"/>
    <n v="1282"/>
    <m/>
    <m/>
    <n v="333"/>
    <n v="0"/>
    <n v="0"/>
    <n v="381"/>
    <n v="0"/>
    <n v="0"/>
    <n v="0"/>
    <n v="0"/>
  </r>
  <r>
    <x v="1"/>
    <s v="Northwest Arkansas Community College "/>
    <m/>
    <n v="367459"/>
    <x v="6"/>
    <n v="148520"/>
    <n v="149512"/>
    <n v="90267"/>
    <n v="89138"/>
    <n v="15621"/>
    <n v="14384"/>
    <n v="42628"/>
    <n v="0"/>
    <n v="0"/>
    <n v="45990"/>
    <n v="0"/>
    <n v="0"/>
    <n v="4"/>
    <n v="0"/>
    <n v="0"/>
    <n v="0"/>
    <m/>
    <m/>
    <m/>
    <m/>
    <m/>
    <m/>
    <m/>
    <m/>
    <m/>
    <m/>
    <m/>
    <m/>
  </r>
  <r>
    <x v="1"/>
    <s v="Arkansas State University-Beebe"/>
    <m/>
    <n v="106449"/>
    <x v="7"/>
    <n v="80683"/>
    <n v="75950"/>
    <n v="50029"/>
    <n v="45457"/>
    <n v="9283"/>
    <n v="8769"/>
    <n v="21314"/>
    <n v="57"/>
    <n v="0"/>
    <n v="21586"/>
    <n v="138"/>
    <n v="0"/>
    <n v="0"/>
    <n v="0"/>
    <n v="0"/>
    <n v="0"/>
    <m/>
    <m/>
    <m/>
    <m/>
    <m/>
    <m/>
    <m/>
    <m/>
    <m/>
    <m/>
    <m/>
    <m/>
  </r>
  <r>
    <x v="1"/>
    <s v="University of Arkansas - Pulaski Technical College"/>
    <m/>
    <n v="107664"/>
    <x v="7"/>
    <n v="118721"/>
    <n v="111297"/>
    <n v="75482"/>
    <n v="71324"/>
    <n v="2538"/>
    <n v="2637"/>
    <n v="40567"/>
    <n v="0"/>
    <n v="0"/>
    <n v="37336"/>
    <n v="0"/>
    <n v="0"/>
    <n v="134"/>
    <n v="0"/>
    <n v="0"/>
    <n v="0"/>
    <m/>
    <m/>
    <m/>
    <m/>
    <m/>
    <m/>
    <m/>
    <m/>
    <m/>
    <m/>
    <m/>
    <m/>
  </r>
  <r>
    <x v="1"/>
    <s v="Arkansas Northeastern College"/>
    <m/>
    <n v="107327"/>
    <x v="8"/>
    <n v="27550"/>
    <n v="26543"/>
    <n v="17656"/>
    <n v="16023"/>
    <n v="389"/>
    <n v="416"/>
    <n v="9505"/>
    <n v="0"/>
    <n v="0"/>
    <n v="10104"/>
    <n v="0"/>
    <n v="0"/>
    <n v="0"/>
    <n v="0"/>
    <n v="0"/>
    <n v="0"/>
    <m/>
    <m/>
    <m/>
    <m/>
    <m/>
    <m/>
    <m/>
    <m/>
    <m/>
    <m/>
    <m/>
    <m/>
  </r>
  <r>
    <x v="1"/>
    <s v="Arkansas State University Mid-South"/>
    <m/>
    <n v="107318"/>
    <x v="8"/>
    <n v="27040"/>
    <n v="24634"/>
    <n v="22214"/>
    <n v="18097"/>
    <n v="0"/>
    <n v="36"/>
    <n v="4820"/>
    <n v="0"/>
    <n v="0"/>
    <n v="6501"/>
    <n v="0"/>
    <n v="0"/>
    <n v="6"/>
    <n v="0"/>
    <n v="0"/>
    <n v="0"/>
    <m/>
    <m/>
    <m/>
    <m/>
    <m/>
    <m/>
    <m/>
    <m/>
    <m/>
    <m/>
    <m/>
    <m/>
  </r>
  <r>
    <x v="1"/>
    <s v="Arkansas State University Mountain Home"/>
    <m/>
    <n v="420538"/>
    <x v="8"/>
    <n v="29732"/>
    <n v="29200"/>
    <n v="14046"/>
    <n v="14702"/>
    <n v="4148"/>
    <n v="1990"/>
    <n v="11232"/>
    <n v="306"/>
    <n v="0"/>
    <n v="12312"/>
    <n v="196"/>
    <n v="0"/>
    <n v="0"/>
    <n v="0"/>
    <n v="0"/>
    <n v="0"/>
    <m/>
    <m/>
    <m/>
    <m/>
    <m/>
    <m/>
    <m/>
    <m/>
    <m/>
    <m/>
    <m/>
    <m/>
  </r>
  <r>
    <x v="1"/>
    <s v="Arkansas State University Three Rivers"/>
    <s v="2019-20: Institution joined one of our university systems"/>
    <n v="107521"/>
    <x v="8"/>
    <n v="22640"/>
    <n v="21506"/>
    <n v="16286"/>
    <n v="14626"/>
    <n v="3015"/>
    <n v="4007"/>
    <n v="3339"/>
    <n v="0"/>
    <n v="0"/>
    <n v="2873"/>
    <n v="0"/>
    <n v="0"/>
    <n v="0"/>
    <n v="0"/>
    <n v="0"/>
    <n v="0"/>
    <m/>
    <m/>
    <m/>
    <m/>
    <m/>
    <m/>
    <m/>
    <m/>
    <m/>
    <m/>
    <m/>
    <m/>
  </r>
  <r>
    <x v="1"/>
    <s v="Arkansas State University-Newport"/>
    <m/>
    <n v="440402"/>
    <x v="8"/>
    <n v="55831"/>
    <n v="56930"/>
    <n v="29603"/>
    <n v="26620"/>
    <n v="4470"/>
    <n v="4300"/>
    <n v="21758"/>
    <n v="0"/>
    <n v="0"/>
    <n v="26010"/>
    <n v="0"/>
    <n v="0"/>
    <n v="0"/>
    <n v="0"/>
    <n v="0"/>
    <n v="0"/>
    <m/>
    <m/>
    <m/>
    <m/>
    <m/>
    <m/>
    <m/>
    <m/>
    <m/>
    <m/>
    <m/>
    <m/>
  </r>
  <r>
    <x v="1"/>
    <s v="Black River Technical College"/>
    <m/>
    <n v="106625"/>
    <x v="8"/>
    <n v="36408"/>
    <n v="36727"/>
    <n v="17580"/>
    <n v="22875"/>
    <n v="7400"/>
    <n v="1986"/>
    <n v="10401"/>
    <n v="1027"/>
    <n v="0"/>
    <n v="10848"/>
    <n v="1018"/>
    <n v="0"/>
    <n v="0"/>
    <n v="0"/>
    <n v="0"/>
    <n v="0"/>
    <m/>
    <m/>
    <m/>
    <m/>
    <m/>
    <m/>
    <m/>
    <m/>
    <m/>
    <m/>
    <m/>
    <m/>
  </r>
  <r>
    <x v="1"/>
    <s v="Cossatot Community College of the University of Arkansas"/>
    <m/>
    <n v="106795"/>
    <x v="8"/>
    <n v="27222"/>
    <n v="27631"/>
    <n v="6431"/>
    <n v="5959"/>
    <n v="9389"/>
    <n v="9744"/>
    <n v="8488"/>
    <n v="2914"/>
    <n v="0"/>
    <n v="9479"/>
    <n v="2449"/>
    <n v="0"/>
    <n v="0"/>
    <n v="0"/>
    <n v="0"/>
    <n v="0"/>
    <m/>
    <m/>
    <m/>
    <m/>
    <m/>
    <m/>
    <m/>
    <m/>
    <m/>
    <m/>
    <m/>
    <m/>
  </r>
  <r>
    <x v="1"/>
    <s v="East Arkansas Community College "/>
    <m/>
    <n v="106883"/>
    <x v="8"/>
    <n v="19730"/>
    <n v="22620"/>
    <n v="8343"/>
    <n v="11394"/>
    <n v="4172"/>
    <n v="3707"/>
    <n v="7175"/>
    <n v="0"/>
    <n v="0"/>
    <n v="7519"/>
    <n v="0"/>
    <n v="0"/>
    <n v="40"/>
    <n v="0"/>
    <n v="0"/>
    <n v="0"/>
    <m/>
    <m/>
    <m/>
    <m/>
    <m/>
    <m/>
    <m/>
    <m/>
    <m/>
    <m/>
    <m/>
    <m/>
  </r>
  <r>
    <x v="1"/>
    <s v="National Park College"/>
    <m/>
    <n v="106980"/>
    <x v="8"/>
    <n v="55918"/>
    <n v="54992"/>
    <n v="49585"/>
    <n v="36647"/>
    <n v="5002"/>
    <n v="4928"/>
    <n v="0"/>
    <n v="0"/>
    <n v="0"/>
    <n v="13417"/>
    <n v="0"/>
    <n v="0"/>
    <n v="1331"/>
    <n v="0"/>
    <n v="0"/>
    <n v="0"/>
    <m/>
    <m/>
    <m/>
    <m/>
    <m/>
    <m/>
    <m/>
    <m/>
    <m/>
    <m/>
    <m/>
    <m/>
  </r>
  <r>
    <x v="1"/>
    <s v="North Arkansas College"/>
    <m/>
    <n v="107460"/>
    <x v="8"/>
    <n v="40362"/>
    <n v="38783"/>
    <n v="27926"/>
    <n v="27168"/>
    <n v="1280"/>
    <n v="757"/>
    <n v="11041"/>
    <n v="112"/>
    <n v="0"/>
    <n v="10625"/>
    <n v="233"/>
    <n v="0"/>
    <n v="3"/>
    <n v="0"/>
    <n v="0"/>
    <n v="0"/>
    <m/>
    <m/>
    <m/>
    <m/>
    <m/>
    <m/>
    <m/>
    <m/>
    <m/>
    <m/>
    <m/>
    <m/>
  </r>
  <r>
    <x v="1"/>
    <s v="Ozarka College "/>
    <m/>
    <n v="107549"/>
    <x v="8"/>
    <n v="23859"/>
    <n v="23629"/>
    <n v="12020"/>
    <n v="10118"/>
    <n v="1543"/>
    <n v="2173"/>
    <n v="10296"/>
    <n v="0"/>
    <n v="0"/>
    <n v="11338"/>
    <n v="0"/>
    <n v="0"/>
    <n v="0"/>
    <n v="0"/>
    <n v="0"/>
    <n v="0"/>
    <m/>
    <m/>
    <m/>
    <m/>
    <m/>
    <m/>
    <m/>
    <m/>
    <m/>
    <m/>
    <m/>
    <m/>
  </r>
  <r>
    <x v="1"/>
    <s v="Phillips Community College of the Univ of Arkansas"/>
    <m/>
    <n v="107619"/>
    <x v="8"/>
    <n v="28154"/>
    <n v="27464"/>
    <n v="15284"/>
    <n v="16235"/>
    <n v="6786"/>
    <n v="5197"/>
    <n v="3480"/>
    <n v="2604"/>
    <n v="0"/>
    <n v="3717"/>
    <n v="2315"/>
    <n v="0"/>
    <n v="0"/>
    <n v="0"/>
    <n v="0"/>
    <n v="0"/>
    <m/>
    <m/>
    <m/>
    <m/>
    <m/>
    <m/>
    <m/>
    <m/>
    <m/>
    <m/>
    <m/>
    <m/>
  </r>
  <r>
    <x v="1"/>
    <s v="South Arkansas Community College"/>
    <m/>
    <n v="107974"/>
    <x v="8"/>
    <n v="31595"/>
    <n v="31419"/>
    <n v="16962"/>
    <n v="15477"/>
    <n v="4666"/>
    <n v="5696"/>
    <n v="9967"/>
    <n v="0"/>
    <n v="0"/>
    <n v="10246"/>
    <n v="0"/>
    <n v="0"/>
    <n v="0"/>
    <n v="0"/>
    <n v="0"/>
    <n v="0"/>
    <m/>
    <m/>
    <m/>
    <m/>
    <m/>
    <m/>
    <m/>
    <m/>
    <m/>
    <m/>
    <m/>
    <m/>
  </r>
  <r>
    <x v="1"/>
    <s v="Southeast Arkansas College"/>
    <m/>
    <n v="107637"/>
    <x v="8"/>
    <n v="25740"/>
    <n v="24902"/>
    <n v="20134"/>
    <n v="18053"/>
    <n v="847"/>
    <n v="1237"/>
    <n v="4759"/>
    <n v="0"/>
    <n v="0"/>
    <n v="5612"/>
    <n v="0"/>
    <n v="0"/>
    <n v="0"/>
    <n v="0"/>
    <n v="0"/>
    <n v="0"/>
    <m/>
    <m/>
    <m/>
    <m/>
    <m/>
    <m/>
    <m/>
    <m/>
    <m/>
    <m/>
    <m/>
    <m/>
  </r>
  <r>
    <x v="1"/>
    <s v="Southern Arkansas University Tech"/>
    <m/>
    <n v="107992"/>
    <x v="8"/>
    <n v="31226"/>
    <n v="28429"/>
    <n v="12347"/>
    <n v="11278"/>
    <n v="12807"/>
    <n v="10363"/>
    <n v="6072"/>
    <n v="0"/>
    <n v="0"/>
    <n v="6788"/>
    <n v="0"/>
    <n v="0"/>
    <n v="0"/>
    <n v="0"/>
    <n v="0"/>
    <n v="0"/>
    <m/>
    <m/>
    <m/>
    <m/>
    <m/>
    <m/>
    <m/>
    <m/>
    <m/>
    <m/>
    <m/>
    <m/>
  </r>
  <r>
    <x v="1"/>
    <s v="University of Arkansas Community College at Batesville"/>
    <m/>
    <n v="106999"/>
    <x v="8"/>
    <n v="26664"/>
    <n v="28645"/>
    <n v="17420"/>
    <n v="18296"/>
    <n v="1229"/>
    <n v="1397"/>
    <n v="8015"/>
    <n v="0"/>
    <n v="0"/>
    <n v="8952"/>
    <n v="0"/>
    <n v="0"/>
    <n v="0"/>
    <n v="0"/>
    <n v="0"/>
    <n v="0"/>
    <m/>
    <m/>
    <m/>
    <m/>
    <m/>
    <m/>
    <m/>
    <m/>
    <m/>
    <m/>
    <m/>
    <m/>
  </r>
  <r>
    <x v="1"/>
    <s v="University of Arkansas Community College at Hope-Texarkana"/>
    <m/>
    <n v="107725"/>
    <x v="8"/>
    <n v="31513"/>
    <n v="29434"/>
    <n v="14298"/>
    <n v="13219"/>
    <n v="8659"/>
    <n v="8402"/>
    <n v="5789"/>
    <n v="2767"/>
    <n v="0"/>
    <n v="5641"/>
    <n v="2172"/>
    <n v="0"/>
    <n v="0"/>
    <n v="0"/>
    <n v="0"/>
    <n v="0"/>
    <m/>
    <m/>
    <m/>
    <m/>
    <m/>
    <m/>
    <m/>
    <m/>
    <m/>
    <m/>
    <m/>
    <m/>
  </r>
  <r>
    <x v="1"/>
    <s v="University of Arkansas Community College at Morrilton"/>
    <m/>
    <n v="107585"/>
    <x v="8"/>
    <n v="43685"/>
    <n v="42425"/>
    <n v="37959"/>
    <n v="35328"/>
    <n v="0"/>
    <n v="87"/>
    <n v="5726"/>
    <n v="0"/>
    <n v="0"/>
    <n v="7010"/>
    <n v="0"/>
    <n v="0"/>
    <n v="0"/>
    <n v="0"/>
    <n v="0"/>
    <n v="0"/>
    <m/>
    <m/>
    <m/>
    <m/>
    <m/>
    <m/>
    <m/>
    <m/>
    <m/>
    <m/>
    <m/>
    <m/>
  </r>
  <r>
    <x v="1"/>
    <s v="University of Arkansas Community College Rich Mountain"/>
    <m/>
    <n v="107743"/>
    <x v="8"/>
    <n v="16703"/>
    <n v="15657"/>
    <n v="10229"/>
    <n v="9875"/>
    <n v="2741"/>
    <n v="2085"/>
    <n v="3331"/>
    <n v="402"/>
    <n v="0"/>
    <n v="3562"/>
    <n v="135"/>
    <n v="0"/>
    <n v="0"/>
    <n v="0"/>
    <n v="0"/>
    <n v="0"/>
    <m/>
    <m/>
    <m/>
    <m/>
    <m/>
    <m/>
    <m/>
    <m/>
    <m/>
    <m/>
    <m/>
    <m/>
  </r>
  <r>
    <x v="1"/>
    <s v="University of Arkansas for Medical Sciences"/>
    <m/>
    <n v="106263"/>
    <x v="11"/>
    <n v="17308"/>
    <n v="19976"/>
    <n v="11248"/>
    <n v="11154"/>
    <n v="782"/>
    <n v="3501"/>
    <n v="4138"/>
    <n v="1140"/>
    <n v="0"/>
    <n v="4246"/>
    <n v="1075"/>
    <n v="0"/>
    <n v="0"/>
    <n v="0"/>
    <n v="0"/>
    <n v="65678"/>
    <m/>
    <n v="54290"/>
    <m/>
    <n v="3619"/>
    <m/>
    <m/>
    <m/>
    <n v="7769"/>
    <m/>
    <m/>
    <n v="0"/>
    <m/>
  </r>
  <r>
    <x v="2"/>
    <s v="University of Delaware"/>
    <m/>
    <n v="130943"/>
    <x v="0"/>
    <n v="593876"/>
    <n v="599291"/>
    <n v="570897"/>
    <n v="574308"/>
    <m/>
    <m/>
    <n v="22979"/>
    <n v="0"/>
    <n v="0"/>
    <n v="24983"/>
    <n v="0"/>
    <n v="0"/>
    <m/>
    <m/>
    <n v="73413"/>
    <n v="75200"/>
    <n v="63260"/>
    <n v="64007"/>
    <m/>
    <m/>
    <n v="10153"/>
    <n v="0"/>
    <n v="0"/>
    <n v="11193"/>
    <n v="0"/>
    <n v="0"/>
    <m/>
    <m/>
  </r>
  <r>
    <x v="2"/>
    <s v="Delaware State University"/>
    <m/>
    <n v="130934"/>
    <x v="2"/>
    <n v="136454"/>
    <n v="128111"/>
    <n v="125999"/>
    <n v="112954"/>
    <m/>
    <m/>
    <n v="10455"/>
    <n v="0"/>
    <n v="0"/>
    <n v="15157"/>
    <n v="0"/>
    <n v="0"/>
    <m/>
    <m/>
    <n v="6332"/>
    <n v="7243"/>
    <n v="4901"/>
    <n v="4900"/>
    <m/>
    <m/>
    <n v="1431"/>
    <n v="0"/>
    <n v="0"/>
    <n v="2343"/>
    <n v="0"/>
    <n v="0"/>
    <m/>
    <m/>
  </r>
  <r>
    <x v="2"/>
    <s v="Delaware Technical and Community College--Terry"/>
    <s v="Met the criteria for Two-Year with Bachelor's in 2019-20. "/>
    <n v="130907"/>
    <x v="7"/>
    <n v="270379"/>
    <n v="259787"/>
    <n v="217348"/>
    <n v="204897"/>
    <m/>
    <m/>
    <n v="51446"/>
    <n v="1028"/>
    <n v="557"/>
    <n v="53543"/>
    <n v="865"/>
    <n v="482"/>
    <m/>
    <m/>
    <n v="0"/>
    <n v="0"/>
    <m/>
    <m/>
    <m/>
    <m/>
    <m/>
    <m/>
    <m/>
    <m/>
    <m/>
    <m/>
    <m/>
    <m/>
  </r>
  <r>
    <x v="3"/>
    <m/>
    <m/>
    <m/>
    <x v="12"/>
    <m/>
    <m/>
    <m/>
    <m/>
    <m/>
    <m/>
    <m/>
    <m/>
    <m/>
    <m/>
    <m/>
    <m/>
    <m/>
    <m/>
    <m/>
    <m/>
    <m/>
    <m/>
    <m/>
    <m/>
    <m/>
    <m/>
    <m/>
    <m/>
    <m/>
    <m/>
    <m/>
    <m/>
  </r>
  <r>
    <x v="3"/>
    <s v="Eastern Florida State College"/>
    <m/>
    <n v="132693"/>
    <x v="13"/>
    <n v="315350"/>
    <n v="313337"/>
    <n v="205277"/>
    <n v="196703"/>
    <n v="6589"/>
    <n v="5845"/>
    <n v="103484"/>
    <n v="0"/>
    <n v="0"/>
    <n v="110789"/>
    <n v="0"/>
    <n v="0"/>
    <n v="0"/>
    <n v="0"/>
    <n v="0"/>
    <n v="0"/>
    <m/>
    <m/>
    <m/>
    <m/>
    <m/>
    <m/>
    <m/>
    <m/>
    <m/>
    <m/>
    <m/>
    <m/>
  </r>
  <r>
    <x v="3"/>
    <s v="Broward College "/>
    <m/>
    <n v="132709"/>
    <x v="13"/>
    <n v="846913"/>
    <n v="826419"/>
    <n v="628544"/>
    <n v="603695"/>
    <n v="42184"/>
    <n v="36944"/>
    <n v="175372"/>
    <n v="0"/>
    <n v="813"/>
    <n v="185483"/>
    <n v="0"/>
    <n v="285"/>
    <n v="0"/>
    <n v="12"/>
    <n v="0"/>
    <n v="0"/>
    <m/>
    <m/>
    <m/>
    <m/>
    <m/>
    <m/>
    <m/>
    <m/>
    <m/>
    <m/>
    <m/>
    <m/>
  </r>
  <r>
    <x v="3"/>
    <s v="College of Central Florida"/>
    <m/>
    <n v="132851"/>
    <x v="13"/>
    <n v="150116"/>
    <n v="146358"/>
    <n v="97908"/>
    <n v="95386"/>
    <n v="0"/>
    <n v="0"/>
    <n v="52208"/>
    <n v="0"/>
    <n v="0"/>
    <n v="50972"/>
    <n v="0"/>
    <n v="0"/>
    <n v="0"/>
    <n v="0"/>
    <n v="0"/>
    <n v="0"/>
    <m/>
    <m/>
    <m/>
    <m/>
    <m/>
    <m/>
    <m/>
    <m/>
    <m/>
    <m/>
    <m/>
    <m/>
  </r>
  <r>
    <x v="3"/>
    <s v="Chipola College "/>
    <m/>
    <n v="133021"/>
    <x v="13"/>
    <n v="40355"/>
    <n v="38380"/>
    <n v="27813"/>
    <n v="25145"/>
    <n v="2066"/>
    <n v="1906"/>
    <n v="10476"/>
    <n v="0"/>
    <n v="0"/>
    <n v="11329"/>
    <n v="0"/>
    <n v="0"/>
    <n v="0"/>
    <n v="0"/>
    <n v="0"/>
    <n v="0"/>
    <m/>
    <m/>
    <m/>
    <m/>
    <m/>
    <m/>
    <m/>
    <m/>
    <m/>
    <m/>
    <m/>
    <m/>
  </r>
  <r>
    <x v="3"/>
    <s v="Daytona State College "/>
    <m/>
    <n v="133386"/>
    <x v="13"/>
    <n v="282410"/>
    <n v="283013"/>
    <n v="148942"/>
    <n v="143503"/>
    <n v="7614"/>
    <n v="7177"/>
    <n v="125854"/>
    <n v="0"/>
    <n v="0"/>
    <n v="132333"/>
    <n v="0"/>
    <n v="0"/>
    <n v="0"/>
    <n v="0"/>
    <n v="0"/>
    <n v="0"/>
    <m/>
    <m/>
    <m/>
    <m/>
    <m/>
    <m/>
    <m/>
    <m/>
    <m/>
    <m/>
    <m/>
    <m/>
  </r>
  <r>
    <x v="3"/>
    <s v="Florida SouthWestern State College"/>
    <m/>
    <n v="133508"/>
    <x v="13"/>
    <n v="334341"/>
    <n v="330497"/>
    <n v="233717"/>
    <n v="225593"/>
    <n v="15731"/>
    <n v="15807"/>
    <n v="83469"/>
    <n v="0"/>
    <n v="0"/>
    <n v="87771"/>
    <n v="0"/>
    <n v="0"/>
    <n v="1424"/>
    <n v="1326"/>
    <n v="0"/>
    <n v="0"/>
    <m/>
    <m/>
    <m/>
    <m/>
    <m/>
    <m/>
    <m/>
    <m/>
    <m/>
    <m/>
    <m/>
    <m/>
  </r>
  <r>
    <x v="3"/>
    <s v="Florida State College at Jacksonville"/>
    <m/>
    <n v="133702"/>
    <x v="13"/>
    <n v="405061"/>
    <n v="479913"/>
    <n v="227688"/>
    <n v="328845"/>
    <n v="14233"/>
    <n v="10264"/>
    <n v="163140"/>
    <n v="0"/>
    <n v="0"/>
    <n v="140804"/>
    <n v="0"/>
    <n v="0"/>
    <n v="0"/>
    <n v="0"/>
    <n v="0"/>
    <n v="0"/>
    <m/>
    <m/>
    <m/>
    <m/>
    <m/>
    <m/>
    <m/>
    <m/>
    <m/>
    <m/>
    <m/>
    <m/>
  </r>
  <r>
    <x v="3"/>
    <s v="The College of the Florida Keys"/>
    <s v="Met the criteria for Two-Year with Bachelor's in 2018-19 and 2019-20. "/>
    <n v="133960"/>
    <x v="8"/>
    <n v="19537"/>
    <n v="18962"/>
    <n v="13628"/>
    <n v="13162"/>
    <n v="815"/>
    <n v="678"/>
    <n v="5094"/>
    <n v="0"/>
    <n v="0"/>
    <n v="5122"/>
    <n v="0"/>
    <n v="0"/>
    <n v="0"/>
    <n v="0"/>
    <n v="0"/>
    <n v="0"/>
    <m/>
    <m/>
    <m/>
    <m/>
    <m/>
    <m/>
    <m/>
    <m/>
    <m/>
    <m/>
    <m/>
    <m/>
  </r>
  <r>
    <x v="3"/>
    <s v="Gulf Coast State College "/>
    <m/>
    <n v="134343"/>
    <x v="13"/>
    <n v="105466"/>
    <n v="90176"/>
    <n v="63471"/>
    <n v="51883"/>
    <n v="10562"/>
    <n v="9030"/>
    <n v="31433"/>
    <n v="0"/>
    <n v="0"/>
    <n v="29263"/>
    <n v="0"/>
    <n v="0"/>
    <n v="0"/>
    <n v="0"/>
    <n v="0"/>
    <n v="0"/>
    <m/>
    <m/>
    <m/>
    <m/>
    <m/>
    <m/>
    <m/>
    <m/>
    <m/>
    <m/>
    <m/>
    <m/>
  </r>
  <r>
    <x v="3"/>
    <s v="Hillsborough Community College "/>
    <m/>
    <n v="134495"/>
    <x v="6"/>
    <n v="579678"/>
    <n v="587949"/>
    <n v="373686"/>
    <n v="356199"/>
    <n v="21989"/>
    <n v="25797"/>
    <n v="184003"/>
    <n v="0"/>
    <n v="0"/>
    <n v="205953"/>
    <n v="0"/>
    <n v="0"/>
    <n v="0"/>
    <n v="0"/>
    <n v="0"/>
    <n v="0"/>
    <m/>
    <m/>
    <m/>
    <m/>
    <m/>
    <m/>
    <m/>
    <m/>
    <m/>
    <m/>
    <m/>
    <m/>
  </r>
  <r>
    <x v="3"/>
    <s v="Indian River State College "/>
    <m/>
    <n v="134608"/>
    <x v="13"/>
    <n v="334639"/>
    <n v="316920"/>
    <n v="190271"/>
    <n v="185326"/>
    <n v="49203"/>
    <n v="27091"/>
    <n v="61281"/>
    <n v="0"/>
    <n v="33691"/>
    <n v="69185"/>
    <n v="0"/>
    <n v="35318"/>
    <n v="193"/>
    <n v="0"/>
    <n v="0"/>
    <n v="0"/>
    <m/>
    <m/>
    <m/>
    <m/>
    <m/>
    <m/>
    <m/>
    <m/>
    <m/>
    <m/>
    <m/>
    <m/>
  </r>
  <r>
    <x v="3"/>
    <s v="Florida Gateway College"/>
    <m/>
    <n v="135160"/>
    <x v="13"/>
    <n v="63453"/>
    <n v="64237"/>
    <n v="24108"/>
    <n v="24772"/>
    <n v="4749"/>
    <n v="4161"/>
    <n v="34596"/>
    <n v="0"/>
    <n v="0"/>
    <n v="35304"/>
    <n v="0"/>
    <n v="0"/>
    <n v="0"/>
    <n v="0"/>
    <n v="0"/>
    <n v="0"/>
    <m/>
    <m/>
    <m/>
    <m/>
    <m/>
    <m/>
    <m/>
    <m/>
    <m/>
    <m/>
    <m/>
    <m/>
  </r>
  <r>
    <x v="3"/>
    <s v="Lake-Sumter State College "/>
    <m/>
    <n v="135188"/>
    <x v="13"/>
    <n v="95582"/>
    <n v="99162"/>
    <n v="62930"/>
    <n v="63914"/>
    <n v="0"/>
    <n v="0"/>
    <n v="32652"/>
    <n v="0"/>
    <n v="0"/>
    <n v="35248"/>
    <n v="0"/>
    <n v="0"/>
    <n v="0"/>
    <n v="0"/>
    <n v="0"/>
    <n v="0"/>
    <m/>
    <m/>
    <m/>
    <m/>
    <m/>
    <m/>
    <m/>
    <m/>
    <m/>
    <m/>
    <m/>
    <m/>
  </r>
  <r>
    <x v="3"/>
    <s v="State College of Florida, Manatee-Sarasota"/>
    <m/>
    <n v="135391"/>
    <x v="13"/>
    <n v="203423"/>
    <n v="200641"/>
    <n v="117600"/>
    <n v="119488"/>
    <n v="10122"/>
    <n v="4208"/>
    <n v="75701"/>
    <n v="0"/>
    <n v="0"/>
    <n v="76945"/>
    <n v="0"/>
    <n v="0"/>
    <n v="0"/>
    <n v="0"/>
    <n v="0"/>
    <n v="0"/>
    <m/>
    <m/>
    <m/>
    <m/>
    <m/>
    <m/>
    <m/>
    <m/>
    <m/>
    <m/>
    <m/>
    <m/>
  </r>
  <r>
    <x v="3"/>
    <s v="Miami Dade College "/>
    <m/>
    <n v="135717"/>
    <x v="13"/>
    <n v="1360384"/>
    <n v="1325305"/>
    <n v="1196201"/>
    <n v="1148586"/>
    <n v="19712"/>
    <n v="20051"/>
    <n v="142977"/>
    <n v="0"/>
    <n v="0"/>
    <n v="154631"/>
    <n v="0"/>
    <n v="0"/>
    <n v="1494"/>
    <n v="2037"/>
    <n v="0"/>
    <n v="0"/>
    <m/>
    <m/>
    <m/>
    <m/>
    <m/>
    <m/>
    <m/>
    <m/>
    <m/>
    <m/>
    <m/>
    <m/>
  </r>
  <r>
    <x v="3"/>
    <s v="North Florida College "/>
    <s v="Met the criteria for Two-Year with Bachelor's in 2019-20. "/>
    <n v="136145"/>
    <x v="8"/>
    <n v="22801"/>
    <n v="22335"/>
    <n v="13261"/>
    <n v="12248"/>
    <n v="420"/>
    <n v="288"/>
    <n v="9039"/>
    <n v="0"/>
    <n v="81"/>
    <n v="9799"/>
    <n v="0"/>
    <n v="0"/>
    <n v="0"/>
    <n v="0"/>
    <n v="0"/>
    <n v="0"/>
    <m/>
    <m/>
    <m/>
    <m/>
    <m/>
    <m/>
    <m/>
    <m/>
    <m/>
    <m/>
    <m/>
    <m/>
  </r>
  <r>
    <x v="3"/>
    <s v="Northwest Florida State College"/>
    <m/>
    <n v="136233"/>
    <x v="13"/>
    <n v="108372"/>
    <n v="108814"/>
    <n v="62708"/>
    <n v="58047"/>
    <n v="7763"/>
    <n v="6697"/>
    <n v="37901"/>
    <n v="0"/>
    <n v="0"/>
    <n v="44070"/>
    <n v="0"/>
    <n v="0"/>
    <n v="0"/>
    <n v="0"/>
    <n v="0"/>
    <n v="0"/>
    <m/>
    <m/>
    <m/>
    <m/>
    <m/>
    <m/>
    <m/>
    <m/>
    <m/>
    <m/>
    <m/>
    <m/>
  </r>
  <r>
    <x v="3"/>
    <s v="Palm Beach State College "/>
    <m/>
    <n v="136358"/>
    <x v="13"/>
    <n v="596392"/>
    <n v="589314"/>
    <n v="465210"/>
    <n v="445876"/>
    <n v="7873"/>
    <n v="8260"/>
    <n v="120172"/>
    <n v="0"/>
    <n v="3137"/>
    <n v="132182"/>
    <n v="0"/>
    <n v="2996"/>
    <n v="0"/>
    <n v="0"/>
    <n v="0"/>
    <n v="0"/>
    <m/>
    <m/>
    <m/>
    <m/>
    <m/>
    <m/>
    <m/>
    <m/>
    <m/>
    <m/>
    <m/>
    <m/>
  </r>
  <r>
    <x v="3"/>
    <s v="Pasco-Hernando State College "/>
    <m/>
    <n v="136400"/>
    <x v="13"/>
    <n v="219112"/>
    <n v="219296"/>
    <n v="141219"/>
    <n v="138852"/>
    <n v="10291"/>
    <n v="10845"/>
    <n v="67602"/>
    <n v="0"/>
    <n v="0"/>
    <n v="69599"/>
    <n v="0"/>
    <n v="0"/>
    <n v="0"/>
    <n v="0"/>
    <n v="0"/>
    <n v="0"/>
    <m/>
    <m/>
    <m/>
    <m/>
    <m/>
    <m/>
    <m/>
    <m/>
    <m/>
    <m/>
    <m/>
    <m/>
  </r>
  <r>
    <x v="3"/>
    <s v="Pensacola State College "/>
    <m/>
    <n v="136473"/>
    <x v="13"/>
    <n v="200019"/>
    <n v="198132"/>
    <n v="125242"/>
    <n v="112721"/>
    <n v="16730"/>
    <n v="24669"/>
    <n v="57169"/>
    <n v="878"/>
    <n v="0"/>
    <n v="59969"/>
    <n v="773"/>
    <n v="0"/>
    <n v="0"/>
    <n v="0"/>
    <n v="0"/>
    <n v="0"/>
    <m/>
    <m/>
    <m/>
    <m/>
    <m/>
    <m/>
    <m/>
    <m/>
    <m/>
    <m/>
    <m/>
    <m/>
  </r>
  <r>
    <x v="3"/>
    <s v="Polk State College "/>
    <m/>
    <n v="136516"/>
    <x v="13"/>
    <n v="194576"/>
    <n v="197321"/>
    <n v="105703"/>
    <n v="101429"/>
    <n v="21950"/>
    <n v="20662"/>
    <n v="66923"/>
    <n v="0"/>
    <n v="0"/>
    <n v="75230"/>
    <n v="0"/>
    <n v="0"/>
    <n v="0"/>
    <n v="0"/>
    <n v="0"/>
    <n v="0"/>
    <m/>
    <m/>
    <m/>
    <m/>
    <m/>
    <m/>
    <m/>
    <m/>
    <m/>
    <m/>
    <m/>
    <m/>
  </r>
  <r>
    <x v="3"/>
    <s v="St. Johns River State College "/>
    <m/>
    <n v="137281"/>
    <x v="13"/>
    <n v="132562"/>
    <n v="134813"/>
    <n v="69707"/>
    <n v="67999"/>
    <n v="18518"/>
    <n v="17669"/>
    <n v="44337"/>
    <n v="0"/>
    <n v="0"/>
    <n v="49004"/>
    <n v="141"/>
    <n v="0"/>
    <n v="0"/>
    <n v="0"/>
    <n v="0"/>
    <n v="0"/>
    <m/>
    <m/>
    <m/>
    <m/>
    <m/>
    <m/>
    <m/>
    <m/>
    <m/>
    <m/>
    <m/>
    <m/>
  </r>
  <r>
    <x v="3"/>
    <s v="St. Petersburg College "/>
    <m/>
    <n v="137078"/>
    <x v="13"/>
    <n v="550946"/>
    <n v="550463"/>
    <n v="287218"/>
    <n v="276401"/>
    <n v="0"/>
    <n v="0"/>
    <n v="263728"/>
    <n v="0"/>
    <n v="0"/>
    <n v="274062"/>
    <n v="0"/>
    <n v="0"/>
    <n v="0"/>
    <n v="0"/>
    <n v="0"/>
    <n v="0"/>
    <m/>
    <m/>
    <m/>
    <m/>
    <m/>
    <m/>
    <m/>
    <m/>
    <m/>
    <m/>
    <m/>
    <m/>
  </r>
  <r>
    <x v="3"/>
    <s v="Santa Fe College "/>
    <m/>
    <n v="137096"/>
    <x v="13"/>
    <n v="310541"/>
    <n v="307780"/>
    <n v="227771"/>
    <n v="223246"/>
    <n v="4020"/>
    <n v="3703"/>
    <n v="78750"/>
    <n v="0"/>
    <n v="0"/>
    <n v="80831"/>
    <n v="0"/>
    <n v="0"/>
    <n v="0"/>
    <n v="0"/>
    <n v="0"/>
    <n v="0"/>
    <m/>
    <m/>
    <m/>
    <m/>
    <m/>
    <m/>
    <m/>
    <m/>
    <m/>
    <m/>
    <m/>
    <m/>
  </r>
  <r>
    <x v="3"/>
    <s v="Seminole State College of Florida"/>
    <m/>
    <n v="137209"/>
    <x v="13"/>
    <n v="338854"/>
    <n v="333440"/>
    <n v="210550"/>
    <n v="200378"/>
    <n v="0"/>
    <n v="0"/>
    <n v="128304"/>
    <n v="0"/>
    <n v="0"/>
    <n v="133062"/>
    <n v="0"/>
    <n v="0"/>
    <n v="0"/>
    <n v="0"/>
    <n v="0"/>
    <n v="0"/>
    <m/>
    <m/>
    <m/>
    <m/>
    <m/>
    <m/>
    <m/>
    <m/>
    <m/>
    <m/>
    <m/>
    <m/>
  </r>
  <r>
    <x v="3"/>
    <s v="South Florida State College "/>
    <m/>
    <n v="137315"/>
    <x v="13"/>
    <n v="48386"/>
    <n v="47891"/>
    <n v="25116"/>
    <n v="23874"/>
    <n v="10347"/>
    <n v="9312"/>
    <n v="12872"/>
    <n v="4"/>
    <n v="47"/>
    <n v="14673"/>
    <n v="0"/>
    <n v="32"/>
    <n v="0"/>
    <n v="0"/>
    <n v="0"/>
    <n v="0"/>
    <m/>
    <m/>
    <m/>
    <m/>
    <m/>
    <m/>
    <m/>
    <m/>
    <m/>
    <m/>
    <m/>
    <m/>
  </r>
  <r>
    <x v="3"/>
    <s v="Tallahassee Community College "/>
    <s v="Met the criteria for Two-Year with Bachelor's in 2019-20. "/>
    <n v="137759"/>
    <x v="6"/>
    <n v="265558"/>
    <n v="258952"/>
    <n v="178837"/>
    <n v="161103"/>
    <n v="11853"/>
    <n v="12346"/>
    <n v="74868"/>
    <n v="0"/>
    <n v="0"/>
    <n v="85503"/>
    <n v="0"/>
    <n v="0"/>
    <n v="0"/>
    <n v="0"/>
    <n v="0"/>
    <n v="0"/>
    <m/>
    <m/>
    <m/>
    <m/>
    <m/>
    <m/>
    <m/>
    <m/>
    <m/>
    <m/>
    <m/>
    <m/>
  </r>
  <r>
    <x v="3"/>
    <s v="Valencia College "/>
    <m/>
    <n v="138187"/>
    <x v="13"/>
    <n v="944854"/>
    <n v="983930"/>
    <n v="631666"/>
    <n v="629921"/>
    <n v="27641"/>
    <n v="30164"/>
    <n v="285547"/>
    <n v="0"/>
    <n v="0"/>
    <n v="323845"/>
    <n v="0"/>
    <n v="0"/>
    <n v="0"/>
    <n v="0"/>
    <n v="0"/>
    <n v="0"/>
    <m/>
    <m/>
    <m/>
    <m/>
    <m/>
    <m/>
    <m/>
    <m/>
    <m/>
    <m/>
    <m/>
    <m/>
  </r>
  <r>
    <x v="4"/>
    <s v="Georgia State University "/>
    <m/>
    <n v="139940"/>
    <x v="0"/>
    <n v="1112833.5"/>
    <n v="1151269"/>
    <n v="892341.5"/>
    <n v="916908"/>
    <n v="8007"/>
    <n v="9589"/>
    <n v="212485"/>
    <n v="0"/>
    <n v="0"/>
    <n v="224772"/>
    <n v="0"/>
    <n v="0"/>
    <n v="0"/>
    <n v="0"/>
    <n v="223137"/>
    <n v="225566"/>
    <n v="119984.5"/>
    <n v="119738.5"/>
    <n v="87899"/>
    <n v="87822.5"/>
    <n v="15253.5"/>
    <n v="0"/>
    <n v="0"/>
    <n v="18005"/>
    <n v="0"/>
    <n v="0"/>
    <n v="0"/>
    <n v="0"/>
  </r>
  <r>
    <x v="4"/>
    <s v="University of Georgia"/>
    <m/>
    <n v="139959"/>
    <x v="0"/>
    <n v="849589.5"/>
    <n v="867177"/>
    <n v="771468.5"/>
    <n v="776197"/>
    <n v="24111"/>
    <n v="27861"/>
    <n v="54010"/>
    <n v="0"/>
    <n v="0"/>
    <n v="63119"/>
    <n v="0"/>
    <n v="0"/>
    <n v="0"/>
    <n v="0"/>
    <n v="274717.90000000002"/>
    <n v="280577.2"/>
    <n v="222339.6"/>
    <n v="224762.5"/>
    <n v="37534.800000000003"/>
    <n v="38742.199999999997"/>
    <n v="14843.5"/>
    <n v="0"/>
    <n v="0"/>
    <n v="17072.5"/>
    <n v="0"/>
    <n v="0"/>
    <n v="0"/>
    <n v="0"/>
  </r>
  <r>
    <x v="4"/>
    <s v="Georgia Institute of Technology"/>
    <m/>
    <n v="139755"/>
    <x v="1"/>
    <n v="448495"/>
    <n v="456127.53"/>
    <n v="420703"/>
    <n v="429129.53"/>
    <n v="15600"/>
    <n v="15922"/>
    <n v="12192"/>
    <n v="0"/>
    <n v="0"/>
    <n v="11076"/>
    <n v="0"/>
    <n v="0"/>
    <n v="0"/>
    <n v="0"/>
    <n v="332827.5"/>
    <n v="375905.5"/>
    <n v="243173.5"/>
    <n v="248047.5"/>
    <n v="2564"/>
    <n v="3066"/>
    <n v="87090"/>
    <n v="0"/>
    <n v="0"/>
    <n v="124792"/>
    <n v="0"/>
    <n v="0"/>
    <n v="0"/>
    <n v="0"/>
  </r>
  <r>
    <x v="4"/>
    <s v="Georgia Southern University"/>
    <s v="Met the criteria for Four-Year 2 in 2019-20."/>
    <n v="139931"/>
    <x v="2"/>
    <n v="658740"/>
    <n v="646339"/>
    <n v="535887"/>
    <n v="514903"/>
    <n v="9192"/>
    <n v="4884"/>
    <n v="113543"/>
    <n v="0"/>
    <n v="118"/>
    <n v="126459"/>
    <n v="0"/>
    <n v="93"/>
    <n v="0"/>
    <n v="0"/>
    <n v="60765"/>
    <n v="61735"/>
    <n v="27405"/>
    <n v="25101"/>
    <n v="750"/>
    <n v="717"/>
    <n v="32610"/>
    <n v="0"/>
    <n v="0"/>
    <n v="35911"/>
    <n v="0"/>
    <n v="6"/>
    <n v="0"/>
    <n v="0"/>
  </r>
  <r>
    <x v="4"/>
    <s v="Kennesaw State University"/>
    <s v="Met the criteria for Four-Year 2 in 2019-20."/>
    <n v="486840"/>
    <x v="2"/>
    <n v="865628"/>
    <n v="897521"/>
    <n v="630086"/>
    <n v="597289"/>
    <n v="1246"/>
    <n v="950"/>
    <n v="234296"/>
    <n v="0"/>
    <n v="0"/>
    <n v="299282"/>
    <n v="0"/>
    <n v="0"/>
    <n v="0"/>
    <n v="0"/>
    <n v="54559"/>
    <n v="56400.1"/>
    <n v="22046"/>
    <n v="21377"/>
    <n v="236"/>
    <n v="37"/>
    <n v="32277"/>
    <n v="0"/>
    <n v="0"/>
    <n v="34986.1"/>
    <n v="0"/>
    <n v="0"/>
    <n v="0"/>
    <n v="0"/>
  </r>
  <r>
    <x v="4"/>
    <s v="University of West Georgia"/>
    <m/>
    <n v="141334"/>
    <x v="2"/>
    <n v="299840"/>
    <n v="288395"/>
    <n v="185336"/>
    <n v="167150"/>
    <n v="11946"/>
    <n v="13775"/>
    <n v="102558"/>
    <n v="0"/>
    <n v="0"/>
    <n v="107470"/>
    <n v="0"/>
    <n v="0"/>
    <n v="0"/>
    <n v="0"/>
    <n v="43601"/>
    <n v="47340"/>
    <n v="6361"/>
    <n v="5526"/>
    <n v="519"/>
    <n v="579"/>
    <n v="36721"/>
    <n v="0"/>
    <n v="0"/>
    <n v="41235"/>
    <n v="0"/>
    <n v="0"/>
    <n v="0"/>
    <n v="0"/>
  </r>
  <r>
    <x v="4"/>
    <s v="Valdosta State University "/>
    <m/>
    <n v="141264"/>
    <x v="2"/>
    <n v="235745"/>
    <n v="233522"/>
    <n v="181218"/>
    <n v="175160"/>
    <n v="1244"/>
    <n v="1908"/>
    <n v="53004"/>
    <n v="279"/>
    <n v="0"/>
    <n v="56051"/>
    <n v="403"/>
    <n v="0"/>
    <n v="0"/>
    <n v="0"/>
    <n v="44896"/>
    <n v="47024"/>
    <n v="10665"/>
    <n v="10589"/>
    <n v="611"/>
    <n v="557"/>
    <n v="33605"/>
    <n v="15"/>
    <n v="0"/>
    <n v="35851"/>
    <n v="27"/>
    <n v="0"/>
    <n v="0"/>
    <n v="0"/>
  </r>
  <r>
    <x v="4"/>
    <s v="Albany State University "/>
    <m/>
    <n v="138716"/>
    <x v="3"/>
    <n v="150811"/>
    <n v="151689"/>
    <n v="102610"/>
    <n v="101702"/>
    <n v="2725"/>
    <n v="2780"/>
    <n v="45344"/>
    <n v="1"/>
    <n v="131"/>
    <n v="46614"/>
    <n v="65"/>
    <n v="528"/>
    <n v="0"/>
    <n v="0"/>
    <n v="6177"/>
    <n v="6300"/>
    <n v="2581"/>
    <n v="1864"/>
    <n v="180"/>
    <n v="147"/>
    <n v="3416"/>
    <n v="0"/>
    <n v="0"/>
    <n v="4283"/>
    <n v="0"/>
    <n v="6"/>
    <n v="0"/>
    <n v="0"/>
  </r>
  <r>
    <x v="4"/>
    <s v="Armstrong State University"/>
    <s v="*Delete after 2017-18; Institution was consolidated into Georgia Southern University"/>
    <n v="138789"/>
    <x v="3"/>
    <n v="0"/>
    <n v="0"/>
    <m/>
    <m/>
    <m/>
    <m/>
    <m/>
    <m/>
    <m/>
    <m/>
    <m/>
    <m/>
    <m/>
    <m/>
    <n v="0"/>
    <n v="0"/>
    <m/>
    <m/>
    <m/>
    <m/>
    <m/>
    <m/>
    <m/>
    <m/>
    <m/>
    <m/>
    <m/>
    <m/>
  </r>
  <r>
    <x v="4"/>
    <s v="Augusta University"/>
    <m/>
    <n v="482149"/>
    <x v="3"/>
    <n v="146254"/>
    <n v="151426"/>
    <n v="123576"/>
    <n v="125287"/>
    <n v="2041"/>
    <n v="1705"/>
    <n v="20580"/>
    <n v="0"/>
    <n v="57"/>
    <n v="24410"/>
    <n v="0"/>
    <n v="24"/>
    <n v="0"/>
    <n v="0"/>
    <n v="196894"/>
    <n v="202899"/>
    <n v="172323"/>
    <n v="177366"/>
    <n v="13170"/>
    <n v="12624"/>
    <n v="11401"/>
    <n v="0"/>
    <n v="0"/>
    <n v="12909"/>
    <n v="0"/>
    <n v="0"/>
    <n v="0"/>
    <n v="0"/>
  </r>
  <r>
    <x v="4"/>
    <s v="Clayton State University"/>
    <m/>
    <n v="139311"/>
    <x v="3"/>
    <n v="161028"/>
    <n v="158345"/>
    <n v="102775"/>
    <n v="96135"/>
    <n v="2764"/>
    <n v="2187"/>
    <n v="55489"/>
    <n v="0"/>
    <n v="0"/>
    <n v="60023"/>
    <n v="0"/>
    <n v="0"/>
    <n v="0"/>
    <n v="0"/>
    <n v="7481"/>
    <n v="8883"/>
    <n v="4691"/>
    <n v="3953"/>
    <n v="264"/>
    <n v="103"/>
    <n v="2526"/>
    <n v="0"/>
    <n v="0"/>
    <n v="4827"/>
    <n v="0"/>
    <n v="0"/>
    <n v="0"/>
    <n v="0"/>
  </r>
  <r>
    <x v="4"/>
    <s v="Columbus State University"/>
    <s v="Met the criteria for Four-Year 3 in 2018-19 and 2019-20."/>
    <n v="139366"/>
    <x v="3"/>
    <n v="172063"/>
    <n v="170962"/>
    <n v="128790"/>
    <n v="123461"/>
    <n v="5866"/>
    <n v="8298"/>
    <n v="37288"/>
    <n v="119"/>
    <n v="0"/>
    <n v="39203"/>
    <n v="0"/>
    <n v="0"/>
    <n v="0"/>
    <n v="0"/>
    <n v="26828"/>
    <n v="24713"/>
    <n v="10147"/>
    <n v="7588"/>
    <n v="704"/>
    <n v="532"/>
    <n v="15977"/>
    <n v="0"/>
    <n v="0"/>
    <n v="16593"/>
    <n v="0"/>
    <n v="0"/>
    <n v="0"/>
    <n v="0"/>
  </r>
  <r>
    <x v="4"/>
    <s v="Fort Valley State University"/>
    <s v="Met the criteria for Four-Year 5 in 2018-19 and 2019-20."/>
    <n v="139719"/>
    <x v="3"/>
    <n v="69971"/>
    <n v="68018"/>
    <n v="56852"/>
    <n v="55227"/>
    <n v="135"/>
    <n v="120"/>
    <n v="11880"/>
    <n v="0"/>
    <n v="1104"/>
    <n v="11818"/>
    <n v="0"/>
    <n v="853"/>
    <n v="0"/>
    <n v="0"/>
    <n v="6865"/>
    <n v="6372"/>
    <n v="5813"/>
    <n v="4783"/>
    <n v="0"/>
    <n v="0"/>
    <n v="992"/>
    <n v="0"/>
    <n v="60"/>
    <n v="1537"/>
    <n v="0"/>
    <n v="52"/>
    <n v="0"/>
    <n v="0"/>
  </r>
  <r>
    <x v="4"/>
    <s v="Georgia College and State University"/>
    <m/>
    <n v="139861"/>
    <x v="3"/>
    <n v="177821.5"/>
    <n v="177097"/>
    <n v="159725.5"/>
    <n v="157960"/>
    <n v="2739"/>
    <n v="1908"/>
    <n v="15357"/>
    <n v="0"/>
    <n v="0"/>
    <n v="17229"/>
    <n v="0"/>
    <n v="0"/>
    <n v="0"/>
    <n v="0"/>
    <n v="20696.5"/>
    <n v="23185"/>
    <n v="3353.5"/>
    <n v="3466"/>
    <n v="574"/>
    <n v="384"/>
    <n v="16769"/>
    <n v="0"/>
    <n v="0"/>
    <n v="19335"/>
    <n v="0"/>
    <n v="0"/>
    <n v="0"/>
    <n v="0"/>
  </r>
  <r>
    <x v="4"/>
    <s v="Georgia Southwestern State University"/>
    <s v="Met the criteria for Four-Year 5 in 2019-20."/>
    <n v="139764"/>
    <x v="3"/>
    <n v="64680"/>
    <n v="63291"/>
    <n v="41870"/>
    <n v="39185"/>
    <n v="1750"/>
    <n v="1327"/>
    <n v="21060"/>
    <n v="0"/>
    <n v="0"/>
    <n v="22779"/>
    <n v="0"/>
    <n v="0"/>
    <n v="0"/>
    <n v="0"/>
    <n v="10339"/>
    <n v="10484"/>
    <n v="4405"/>
    <n v="4230"/>
    <n v="714"/>
    <n v="234"/>
    <n v="5220"/>
    <n v="0"/>
    <n v="0"/>
    <n v="6020"/>
    <n v="0"/>
    <n v="0"/>
    <n v="0"/>
    <n v="0"/>
  </r>
  <r>
    <x v="4"/>
    <s v="University of North Georgia"/>
    <m/>
    <n v="482680"/>
    <x v="3"/>
    <n v="458686"/>
    <n v="463050"/>
    <n v="393591"/>
    <n v="384108"/>
    <n v="5524"/>
    <n v="8254"/>
    <n v="59571"/>
    <n v="0"/>
    <n v="0"/>
    <n v="70688"/>
    <n v="0"/>
    <n v="0"/>
    <n v="0"/>
    <n v="0"/>
    <n v="14308"/>
    <n v="14938"/>
    <n v="8495"/>
    <n v="8145"/>
    <n v="1133"/>
    <n v="927"/>
    <n v="4680"/>
    <n v="0"/>
    <n v="0"/>
    <n v="5866"/>
    <n v="0"/>
    <n v="0"/>
    <n v="0"/>
    <n v="0"/>
  </r>
  <r>
    <x v="4"/>
    <s v="Savannah State University"/>
    <m/>
    <n v="140960"/>
    <x v="4"/>
    <n v="117463"/>
    <n v="103628"/>
    <n v="100202"/>
    <n v="83331"/>
    <n v="273"/>
    <n v="216"/>
    <n v="16988"/>
    <n v="0"/>
    <n v="0"/>
    <n v="20081"/>
    <n v="0"/>
    <n v="0"/>
    <n v="0"/>
    <n v="0"/>
    <n v="3734"/>
    <n v="3681"/>
    <n v="1577"/>
    <n v="1569"/>
    <n v="1320"/>
    <n v="1404"/>
    <n v="837"/>
    <n v="0"/>
    <n v="0"/>
    <n v="708"/>
    <n v="0"/>
    <n v="0"/>
    <n v="0"/>
    <n v="0"/>
  </r>
  <r>
    <x v="4"/>
    <s v="College of Coastal Georgia "/>
    <m/>
    <n v="139250"/>
    <x v="5"/>
    <n v="83776"/>
    <n v="83041"/>
    <n v="60799"/>
    <n v="59017"/>
    <n v="464"/>
    <n v="928"/>
    <n v="22513"/>
    <n v="0"/>
    <n v="0"/>
    <n v="23096"/>
    <n v="0"/>
    <n v="0"/>
    <n v="0"/>
    <n v="0"/>
    <n v="0"/>
    <n v="0"/>
    <m/>
    <m/>
    <m/>
    <m/>
    <m/>
    <m/>
    <m/>
    <m/>
    <m/>
    <m/>
    <m/>
    <m/>
  </r>
  <r>
    <x v="4"/>
    <s v="Dalton State College "/>
    <m/>
    <n v="139463"/>
    <x v="5"/>
    <n v="121843"/>
    <n v="118623"/>
    <n v="99398"/>
    <n v="97495"/>
    <n v="6619"/>
    <n v="4950"/>
    <n v="15826"/>
    <n v="0"/>
    <n v="0"/>
    <n v="16178"/>
    <n v="0"/>
    <n v="0"/>
    <n v="0"/>
    <n v="0"/>
    <n v="0"/>
    <n v="0"/>
    <m/>
    <m/>
    <m/>
    <m/>
    <m/>
    <m/>
    <m/>
    <m/>
    <m/>
    <m/>
    <m/>
    <m/>
  </r>
  <r>
    <x v="4"/>
    <s v="Georgia Gwinnett College"/>
    <m/>
    <n v="447689"/>
    <x v="5"/>
    <n v="306863"/>
    <n v="312109"/>
    <n v="299433"/>
    <n v="302651"/>
    <n v="209"/>
    <n v="801"/>
    <n v="7221"/>
    <n v="0"/>
    <n v="0"/>
    <n v="8657"/>
    <n v="0"/>
    <n v="0"/>
    <n v="0"/>
    <n v="0"/>
    <n v="0"/>
    <n v="0"/>
    <m/>
    <m/>
    <m/>
    <m/>
    <m/>
    <m/>
    <m/>
    <m/>
    <m/>
    <m/>
    <m/>
    <m/>
  </r>
  <r>
    <x v="4"/>
    <s v="Middle Georgia State College"/>
    <s v="Met the criteria for Four-Year 5 in 2018-19 and 2019-20."/>
    <n v="482158"/>
    <x v="5"/>
    <n v="180637"/>
    <n v="185924"/>
    <n v="110070"/>
    <n v="105465"/>
    <n v="1324"/>
    <n v="1453"/>
    <n v="67916"/>
    <n v="1327"/>
    <n v="0"/>
    <n v="77984"/>
    <n v="1022"/>
    <n v="0"/>
    <n v="0"/>
    <n v="0"/>
    <n v="3639"/>
    <n v="4734"/>
    <n v="345"/>
    <n v="141"/>
    <n v="84"/>
    <n v="120"/>
    <n v="3210"/>
    <n v="0"/>
    <n v="0"/>
    <n v="4473"/>
    <n v="0"/>
    <n v="0"/>
    <n v="0"/>
    <n v="0"/>
  </r>
  <r>
    <x v="4"/>
    <s v="Abraham Baldwin Agricultural College "/>
    <s v="Reclassified: Met the criteria for Four-Year 6 in 2017-18, 2018-19, and 2019-20. "/>
    <n v="138558"/>
    <x v="5"/>
    <n v="111796"/>
    <n v="97639"/>
    <n v="89100"/>
    <n v="81705"/>
    <n v="6909"/>
    <n v="3508"/>
    <n v="15787"/>
    <n v="0"/>
    <n v="0"/>
    <n v="12426"/>
    <n v="0"/>
    <n v="0"/>
    <n v="0"/>
    <n v="0"/>
    <n v="0"/>
    <n v="0"/>
    <m/>
    <m/>
    <m/>
    <m/>
    <m/>
    <m/>
    <m/>
    <m/>
    <m/>
    <m/>
    <m/>
    <m/>
  </r>
  <r>
    <x v="4"/>
    <s v="Atlanta Metropolitan State College"/>
    <m/>
    <n v="138901"/>
    <x v="13"/>
    <n v="51417"/>
    <n v="44035"/>
    <n v="36668"/>
    <n v="29646"/>
    <n v="1352"/>
    <n v="2469"/>
    <n v="13397"/>
    <n v="0"/>
    <n v="0"/>
    <n v="11920"/>
    <n v="0"/>
    <n v="0"/>
    <n v="0"/>
    <n v="0"/>
    <n v="0"/>
    <n v="0"/>
    <m/>
    <m/>
    <m/>
    <m/>
    <m/>
    <m/>
    <m/>
    <m/>
    <m/>
    <m/>
    <m/>
    <m/>
  </r>
  <r>
    <x v="4"/>
    <s v="East Georgia State College"/>
    <m/>
    <n v="139621"/>
    <x v="13"/>
    <n v="68856"/>
    <n v="66138"/>
    <n v="35717"/>
    <n v="33961"/>
    <n v="12088"/>
    <n v="9920"/>
    <n v="21051"/>
    <n v="0"/>
    <n v="0"/>
    <n v="22257"/>
    <n v="0"/>
    <n v="0"/>
    <n v="0"/>
    <n v="0"/>
    <n v="0"/>
    <n v="0"/>
    <m/>
    <m/>
    <m/>
    <m/>
    <m/>
    <m/>
    <m/>
    <m/>
    <m/>
    <m/>
    <m/>
    <m/>
  </r>
  <r>
    <x v="4"/>
    <s v="Georgia Highlands College"/>
    <m/>
    <n v="139700"/>
    <x v="13"/>
    <n v="134665"/>
    <n v="132863"/>
    <n v="77725"/>
    <n v="75119"/>
    <n v="19951"/>
    <n v="22988"/>
    <n v="36989"/>
    <n v="0"/>
    <n v="0"/>
    <n v="34756"/>
    <n v="0"/>
    <n v="0"/>
    <n v="0"/>
    <n v="0"/>
    <n v="0"/>
    <n v="0"/>
    <m/>
    <m/>
    <m/>
    <m/>
    <m/>
    <m/>
    <m/>
    <m/>
    <m/>
    <m/>
    <m/>
    <m/>
  </r>
  <r>
    <x v="4"/>
    <s v="Gordon State College "/>
    <s v="Reclassified: Met the criteria for Four-Year 6 in 2017-18, 2018-19, and 2019-20. "/>
    <n v="139968"/>
    <x v="5"/>
    <n v="89080"/>
    <n v="83361"/>
    <n v="65209"/>
    <n v="57363"/>
    <n v="6718"/>
    <n v="6791"/>
    <n v="17153"/>
    <n v="0"/>
    <n v="0"/>
    <n v="19207"/>
    <n v="0"/>
    <n v="0"/>
    <n v="0"/>
    <n v="0"/>
    <n v="0"/>
    <n v="0"/>
    <m/>
    <m/>
    <m/>
    <m/>
    <m/>
    <m/>
    <m/>
    <m/>
    <m/>
    <m/>
    <m/>
    <m/>
  </r>
  <r>
    <x v="4"/>
    <s v="South Georgia State College"/>
    <m/>
    <n v="482699"/>
    <x v="13"/>
    <n v="61747"/>
    <n v="59744"/>
    <n v="21466"/>
    <n v="20148"/>
    <n v="23010"/>
    <n v="20109"/>
    <n v="17271"/>
    <n v="0"/>
    <n v="0"/>
    <n v="19487"/>
    <n v="0"/>
    <n v="0"/>
    <n v="0"/>
    <n v="0"/>
    <n v="0"/>
    <n v="0"/>
    <m/>
    <m/>
    <m/>
    <m/>
    <m/>
    <m/>
    <m/>
    <m/>
    <m/>
    <m/>
    <m/>
    <m/>
  </r>
  <r>
    <x v="4"/>
    <s v="Bainbridge State College "/>
    <s v="*Delete after 2017-18; Institution was consolidated into Abraham Baldwin Agricultural College. Met the criteria for Two-Year with Bachelor's in 2017-18 amd 2018-19."/>
    <n v="139010"/>
    <x v="8"/>
    <n v="0"/>
    <n v="0"/>
    <m/>
    <m/>
    <m/>
    <m/>
    <m/>
    <m/>
    <m/>
    <m/>
    <m/>
    <m/>
    <m/>
    <m/>
    <n v="0"/>
    <n v="0"/>
    <m/>
    <m/>
    <m/>
    <m/>
    <m/>
    <m/>
    <m/>
    <m/>
    <m/>
    <m/>
    <m/>
    <m/>
  </r>
  <r>
    <x v="4"/>
    <s v="Albany Technical College"/>
    <m/>
    <n v="138682"/>
    <x v="9"/>
    <n v="76970"/>
    <n v="76635"/>
    <n v="35710"/>
    <n v="29840"/>
    <m/>
    <m/>
    <n v="41260"/>
    <n v="0"/>
    <n v="0"/>
    <n v="46795"/>
    <n v="0"/>
    <n v="0"/>
    <m/>
    <m/>
    <n v="0"/>
    <n v="0"/>
    <m/>
    <m/>
    <m/>
    <m/>
    <m/>
    <m/>
    <m/>
    <m/>
    <m/>
    <m/>
    <m/>
    <m/>
  </r>
  <r>
    <x v="4"/>
    <s v="Athens Technical College"/>
    <m/>
    <n v="246813"/>
    <x v="9"/>
    <n v="86137"/>
    <n v="86294"/>
    <n v="66447"/>
    <n v="64114"/>
    <m/>
    <m/>
    <n v="19430"/>
    <n v="260"/>
    <n v="0"/>
    <n v="22090"/>
    <n v="90"/>
    <n v="0"/>
    <m/>
    <m/>
    <n v="0"/>
    <n v="0"/>
    <m/>
    <m/>
    <m/>
    <m/>
    <m/>
    <m/>
    <m/>
    <m/>
    <m/>
    <m/>
    <m/>
    <m/>
  </r>
  <r>
    <x v="4"/>
    <s v="Atlanta Technical College"/>
    <m/>
    <n v="138840"/>
    <x v="9"/>
    <n v="86559"/>
    <n v="87610"/>
    <n v="49899"/>
    <n v="46838"/>
    <m/>
    <m/>
    <n v="36660"/>
    <n v="0"/>
    <n v="0"/>
    <n v="40772"/>
    <n v="0"/>
    <n v="0"/>
    <m/>
    <m/>
    <n v="0"/>
    <n v="0"/>
    <m/>
    <m/>
    <m/>
    <m/>
    <m/>
    <m/>
    <m/>
    <m/>
    <m/>
    <m/>
    <m/>
    <m/>
  </r>
  <r>
    <x v="4"/>
    <s v="Augusta Technical College"/>
    <m/>
    <n v="138956"/>
    <x v="9"/>
    <n v="100487"/>
    <n v="96226"/>
    <n v="89916"/>
    <n v="85399"/>
    <m/>
    <m/>
    <n v="10571"/>
    <n v="0"/>
    <n v="0"/>
    <n v="10827"/>
    <n v="0"/>
    <n v="0"/>
    <m/>
    <m/>
    <n v="0"/>
    <n v="0"/>
    <m/>
    <m/>
    <m/>
    <m/>
    <m/>
    <m/>
    <m/>
    <m/>
    <m/>
    <m/>
    <m/>
    <m/>
  </r>
  <r>
    <x v="4"/>
    <s v="Central Georgia Technical College"/>
    <m/>
    <n v="483045"/>
    <x v="9"/>
    <n v="170017"/>
    <n v="167560"/>
    <n v="92543"/>
    <n v="87705"/>
    <m/>
    <m/>
    <n v="66388"/>
    <n v="11086"/>
    <n v="0"/>
    <n v="68479"/>
    <n v="11376"/>
    <n v="0"/>
    <m/>
    <m/>
    <n v="0"/>
    <n v="0"/>
    <m/>
    <m/>
    <m/>
    <m/>
    <m/>
    <m/>
    <m/>
    <m/>
    <m/>
    <m/>
    <m/>
    <m/>
  </r>
  <r>
    <x v="4"/>
    <s v="Chattahoochee Technical College"/>
    <m/>
    <n v="140331"/>
    <x v="9"/>
    <n v="194492"/>
    <n v="193364"/>
    <n v="98217"/>
    <n v="93964"/>
    <m/>
    <m/>
    <n v="96275"/>
    <n v="0"/>
    <n v="0"/>
    <n v="99400"/>
    <n v="0"/>
    <n v="0"/>
    <m/>
    <m/>
    <n v="0"/>
    <n v="0"/>
    <m/>
    <m/>
    <m/>
    <m/>
    <m/>
    <m/>
    <m/>
    <m/>
    <m/>
    <m/>
    <m/>
    <m/>
  </r>
  <r>
    <x v="4"/>
    <s v="Coastal Pines Technical College"/>
    <m/>
    <n v="485458"/>
    <x v="9"/>
    <n v="60866"/>
    <n v="72138"/>
    <n v="48116"/>
    <n v="53702"/>
    <m/>
    <m/>
    <n v="12750"/>
    <n v="0"/>
    <n v="0"/>
    <n v="18436"/>
    <n v="0"/>
    <n v="0"/>
    <m/>
    <m/>
    <n v="0"/>
    <n v="0"/>
    <m/>
    <m/>
    <m/>
    <m/>
    <m/>
    <m/>
    <m/>
    <m/>
    <m/>
    <m/>
    <m/>
    <m/>
  </r>
  <r>
    <x v="4"/>
    <s v="Columbus Technical College"/>
    <m/>
    <n v="139357"/>
    <x v="9"/>
    <n v="70252.399999999994"/>
    <n v="73251.899999999994"/>
    <n v="45287.3"/>
    <n v="48299.4"/>
    <m/>
    <m/>
    <n v="24965.1"/>
    <n v="0"/>
    <n v="0"/>
    <n v="24952.5"/>
    <n v="0"/>
    <n v="0"/>
    <m/>
    <m/>
    <n v="0"/>
    <n v="0"/>
    <m/>
    <m/>
    <m/>
    <m/>
    <m/>
    <m/>
    <m/>
    <m/>
    <m/>
    <m/>
    <m/>
    <m/>
  </r>
  <r>
    <x v="4"/>
    <s v="Georgia Northwestern Technical College"/>
    <m/>
    <n v="139384"/>
    <x v="9"/>
    <n v="111820"/>
    <n v="119951"/>
    <n v="65466"/>
    <n v="68172"/>
    <m/>
    <m/>
    <n v="46354"/>
    <n v="0"/>
    <n v="0"/>
    <n v="51779"/>
    <n v="0"/>
    <n v="0"/>
    <m/>
    <m/>
    <n v="0"/>
    <n v="0"/>
    <m/>
    <m/>
    <m/>
    <m/>
    <m/>
    <m/>
    <m/>
    <m/>
    <m/>
    <m/>
    <m/>
    <m/>
  </r>
  <r>
    <x v="4"/>
    <s v="Georgia Piedmont Technical College"/>
    <m/>
    <n v="244446"/>
    <x v="9"/>
    <n v="79406"/>
    <n v="69469.5"/>
    <n v="22955"/>
    <n v="19528.5"/>
    <m/>
    <m/>
    <n v="56451"/>
    <n v="0"/>
    <n v="0"/>
    <n v="49941"/>
    <n v="0"/>
    <n v="0"/>
    <m/>
    <m/>
    <n v="0"/>
    <n v="0"/>
    <m/>
    <m/>
    <m/>
    <m/>
    <m/>
    <m/>
    <m/>
    <m/>
    <m/>
    <m/>
    <m/>
    <m/>
  </r>
  <r>
    <x v="4"/>
    <s v="Gwinnett Technical College"/>
    <m/>
    <n v="140012"/>
    <x v="9"/>
    <n v="167248"/>
    <n v="172091"/>
    <n v="97710"/>
    <n v="94293"/>
    <m/>
    <m/>
    <n v="69538"/>
    <n v="0"/>
    <n v="0"/>
    <n v="77798"/>
    <n v="0"/>
    <n v="0"/>
    <m/>
    <m/>
    <n v="0"/>
    <n v="0"/>
    <m/>
    <m/>
    <m/>
    <m/>
    <m/>
    <m/>
    <m/>
    <m/>
    <m/>
    <m/>
    <m/>
    <m/>
  </r>
  <r>
    <x v="4"/>
    <s v="Lanier Technical College"/>
    <m/>
    <n v="140243"/>
    <x v="9"/>
    <n v="74738"/>
    <n v="85664"/>
    <n v="54752"/>
    <n v="63039"/>
    <m/>
    <m/>
    <n v="19986"/>
    <n v="0"/>
    <n v="0"/>
    <n v="22625"/>
    <n v="0"/>
    <n v="0"/>
    <m/>
    <m/>
    <n v="0"/>
    <n v="0"/>
    <m/>
    <m/>
    <m/>
    <m/>
    <m/>
    <m/>
    <m/>
    <m/>
    <m/>
    <m/>
    <m/>
    <m/>
  </r>
  <r>
    <x v="4"/>
    <s v="North Georgia Technical College"/>
    <m/>
    <n v="140678"/>
    <x v="9"/>
    <n v="53903"/>
    <n v="54959"/>
    <n v="35839"/>
    <n v="36405"/>
    <m/>
    <m/>
    <n v="18064"/>
    <n v="0"/>
    <n v="0"/>
    <n v="18554"/>
    <n v="0"/>
    <n v="0"/>
    <m/>
    <m/>
    <n v="0"/>
    <n v="0"/>
    <m/>
    <m/>
    <m/>
    <m/>
    <m/>
    <m/>
    <m/>
    <m/>
    <m/>
    <m/>
    <m/>
    <m/>
  </r>
  <r>
    <x v="4"/>
    <s v="Oconee Fall Line Technical College"/>
    <m/>
    <n v="420431"/>
    <x v="9"/>
    <n v="29632"/>
    <n v="34423"/>
    <n v="19940"/>
    <n v="21789"/>
    <m/>
    <m/>
    <n v="9692"/>
    <n v="0"/>
    <n v="0"/>
    <n v="12634"/>
    <n v="0"/>
    <n v="0"/>
    <m/>
    <m/>
    <n v="0"/>
    <n v="0"/>
    <m/>
    <m/>
    <m/>
    <m/>
    <m/>
    <m/>
    <m/>
    <m/>
    <m/>
    <m/>
    <m/>
    <m/>
  </r>
  <r>
    <x v="4"/>
    <s v="Ogeechee Technical College"/>
    <m/>
    <n v="366465"/>
    <x v="9"/>
    <n v="47084"/>
    <n v="50133"/>
    <n v="30753"/>
    <n v="30877"/>
    <m/>
    <m/>
    <n v="16331"/>
    <n v="0"/>
    <n v="0"/>
    <n v="19256"/>
    <n v="0"/>
    <n v="0"/>
    <m/>
    <m/>
    <n v="0"/>
    <n v="0"/>
    <m/>
    <m/>
    <m/>
    <m/>
    <m/>
    <m/>
    <m/>
    <m/>
    <m/>
    <m/>
    <m/>
    <m/>
  </r>
  <r>
    <x v="4"/>
    <s v="Savannah Technical College"/>
    <m/>
    <n v="140942"/>
    <x v="9"/>
    <n v="86869"/>
    <n v="87500"/>
    <n v="61865"/>
    <n v="64669"/>
    <m/>
    <m/>
    <n v="25004"/>
    <n v="0"/>
    <n v="0"/>
    <n v="22831"/>
    <n v="0"/>
    <n v="0"/>
    <m/>
    <m/>
    <n v="0"/>
    <n v="0"/>
    <m/>
    <m/>
    <m/>
    <m/>
    <m/>
    <m/>
    <m/>
    <m/>
    <m/>
    <m/>
    <m/>
    <m/>
  </r>
  <r>
    <x v="4"/>
    <s v="South Georgia Technical College"/>
    <m/>
    <n v="141006"/>
    <x v="9"/>
    <n v="49872"/>
    <n v="51913"/>
    <n v="39027"/>
    <n v="38957"/>
    <m/>
    <m/>
    <n v="10845"/>
    <n v="0"/>
    <n v="0"/>
    <n v="12956"/>
    <n v="0"/>
    <n v="0"/>
    <m/>
    <m/>
    <n v="0"/>
    <n v="0"/>
    <m/>
    <m/>
    <m/>
    <m/>
    <m/>
    <m/>
    <m/>
    <m/>
    <m/>
    <m/>
    <m/>
    <m/>
  </r>
  <r>
    <x v="4"/>
    <s v="Southeastern Technical College"/>
    <m/>
    <n v="368911"/>
    <x v="9"/>
    <n v="34406"/>
    <n v="36529"/>
    <n v="25482"/>
    <n v="25145"/>
    <m/>
    <m/>
    <n v="8924"/>
    <n v="0"/>
    <n v="0"/>
    <n v="11384"/>
    <n v="0"/>
    <n v="0"/>
    <m/>
    <m/>
    <n v="0"/>
    <n v="0"/>
    <m/>
    <m/>
    <m/>
    <m/>
    <m/>
    <m/>
    <m/>
    <m/>
    <m/>
    <m/>
    <m/>
    <m/>
  </r>
  <r>
    <x v="4"/>
    <s v="Southern Crescent Technical College"/>
    <m/>
    <n v="139986"/>
    <x v="9"/>
    <n v="99878"/>
    <n v="104938"/>
    <n v="64903"/>
    <n v="64948"/>
    <m/>
    <m/>
    <n v="34975"/>
    <n v="0"/>
    <n v="0"/>
    <n v="39747"/>
    <n v="243"/>
    <n v="0"/>
    <m/>
    <m/>
    <n v="0"/>
    <n v="0"/>
    <m/>
    <m/>
    <m/>
    <m/>
    <m/>
    <m/>
    <m/>
    <m/>
    <m/>
    <m/>
    <m/>
    <m/>
  </r>
  <r>
    <x v="4"/>
    <s v="Southern Regional Technical College"/>
    <m/>
    <n v="487162"/>
    <x v="9"/>
    <n v="89137"/>
    <n v="99205"/>
    <n v="62207"/>
    <n v="65428"/>
    <m/>
    <m/>
    <n v="26930"/>
    <n v="0"/>
    <n v="0"/>
    <n v="33777"/>
    <n v="0"/>
    <n v="0"/>
    <m/>
    <m/>
    <n v="0"/>
    <n v="0"/>
    <m/>
    <m/>
    <m/>
    <m/>
    <m/>
    <m/>
    <m/>
    <m/>
    <m/>
    <m/>
    <m/>
    <m/>
  </r>
  <r>
    <x v="4"/>
    <s v="West Georgia Technical College"/>
    <m/>
    <n v="139278"/>
    <x v="9"/>
    <n v="132699"/>
    <n v="134690"/>
    <n v="87329"/>
    <n v="79156"/>
    <m/>
    <m/>
    <n v="45370"/>
    <n v="0"/>
    <n v="0"/>
    <n v="55534"/>
    <n v="0"/>
    <n v="0"/>
    <m/>
    <m/>
    <n v="0"/>
    <n v="0"/>
    <m/>
    <m/>
    <m/>
    <m/>
    <m/>
    <m/>
    <m/>
    <m/>
    <m/>
    <m/>
    <m/>
    <m/>
  </r>
  <r>
    <x v="4"/>
    <s v="Wiregrass Georgia Technical College"/>
    <m/>
    <n v="141255"/>
    <x v="9"/>
    <n v="81638"/>
    <n v="84293"/>
    <n v="64689"/>
    <n v="67418"/>
    <m/>
    <m/>
    <n v="16949"/>
    <n v="0"/>
    <n v="0"/>
    <n v="16875"/>
    <n v="0"/>
    <n v="0"/>
    <m/>
    <m/>
    <n v="0"/>
    <n v="0"/>
    <m/>
    <m/>
    <m/>
    <m/>
    <m/>
    <m/>
    <m/>
    <m/>
    <m/>
    <m/>
    <m/>
    <m/>
  </r>
  <r>
    <x v="5"/>
    <s v="University of Kentucky"/>
    <m/>
    <n v="157085"/>
    <x v="0"/>
    <n v="666352"/>
    <n v="661709"/>
    <n v="596292"/>
    <n v="589799"/>
    <n v="8946"/>
    <n v="7624"/>
    <n v="59383"/>
    <n v="540"/>
    <n v="1191"/>
    <n v="62707"/>
    <n v="303"/>
    <n v="1276"/>
    <m/>
    <m/>
    <n v="83665"/>
    <n v="83861"/>
    <n v="63060"/>
    <n v="59942"/>
    <n v="309"/>
    <n v="284"/>
    <n v="20013"/>
    <m/>
    <n v="283"/>
    <n v="22967"/>
    <n v="668"/>
    <m/>
    <m/>
    <m/>
  </r>
  <r>
    <x v="5"/>
    <s v="University of Louisville"/>
    <m/>
    <n v="157289"/>
    <x v="0"/>
    <n v="391462"/>
    <n v="385705"/>
    <n v="324563"/>
    <n v="312187"/>
    <n v="13150"/>
    <n v="13722"/>
    <n v="53749"/>
    <m/>
    <m/>
    <n v="59796"/>
    <m/>
    <m/>
    <m/>
    <m/>
    <n v="80351"/>
    <n v="78224"/>
    <n v="55586"/>
    <n v="51454.5"/>
    <n v="6232"/>
    <n v="6149"/>
    <n v="18533"/>
    <m/>
    <m/>
    <n v="20620.5"/>
    <m/>
    <m/>
    <m/>
    <m/>
  </r>
  <r>
    <x v="5"/>
    <s v="Eastern Kentucky University "/>
    <m/>
    <n v="156620"/>
    <x v="2"/>
    <n v="383583"/>
    <n v="360719"/>
    <n v="288192"/>
    <n v="265793"/>
    <n v="14604"/>
    <n v="12460"/>
    <n v="75149"/>
    <n v="5638"/>
    <m/>
    <n v="77567"/>
    <n v="4899"/>
    <m/>
    <m/>
    <m/>
    <n v="42769"/>
    <n v="40190"/>
    <n v="15258"/>
    <n v="14008.5"/>
    <n v="999"/>
    <n v="1530.5"/>
    <n v="26509"/>
    <n v="3"/>
    <m/>
    <n v="24648"/>
    <m/>
    <n v="3"/>
    <m/>
    <m/>
  </r>
  <r>
    <x v="5"/>
    <s v="Morehead State University "/>
    <m/>
    <n v="157386"/>
    <x v="2"/>
    <n v="201307"/>
    <n v="191768"/>
    <n v="118899"/>
    <n v="112435"/>
    <n v="28204"/>
    <n v="26333"/>
    <n v="49322"/>
    <n v="4882"/>
    <m/>
    <n v="48273"/>
    <n v="4727"/>
    <m/>
    <m/>
    <m/>
    <n v="13424"/>
    <n v="11765"/>
    <n v="1538"/>
    <n v="1161"/>
    <n v="573"/>
    <n v="564"/>
    <n v="10883"/>
    <n v="430"/>
    <m/>
    <n v="9986"/>
    <m/>
    <n v="54"/>
    <m/>
    <m/>
  </r>
  <r>
    <x v="5"/>
    <s v="Murray State University "/>
    <m/>
    <n v="157401"/>
    <x v="2"/>
    <n v="212115"/>
    <n v="206180"/>
    <n v="166732"/>
    <n v="156228"/>
    <n v="9655"/>
    <n v="10668"/>
    <n v="28786"/>
    <n v="6942"/>
    <m/>
    <n v="32320"/>
    <n v="6964"/>
    <m/>
    <m/>
    <m/>
    <n v="20151"/>
    <n v="20929"/>
    <n v="9236"/>
    <n v="9651"/>
    <n v="1879"/>
    <n v="2553"/>
    <n v="8670"/>
    <n v="366"/>
    <m/>
    <n v="8494"/>
    <m/>
    <n v="231"/>
    <m/>
    <m/>
  </r>
  <r>
    <x v="5"/>
    <s v="Northern Kentucky University "/>
    <m/>
    <n v="157447"/>
    <x v="2"/>
    <n v="334483"/>
    <n v="329083"/>
    <n v="243743"/>
    <n v="230806"/>
    <n v="15941"/>
    <n v="15650"/>
    <n v="74532"/>
    <n v="267"/>
    <m/>
    <n v="82530"/>
    <n v="97"/>
    <m/>
    <m/>
    <m/>
    <n v="40872"/>
    <n v="60785"/>
    <n v="25219"/>
    <n v="23147.5"/>
    <n v="277"/>
    <n v="359"/>
    <n v="15376"/>
    <m/>
    <m/>
    <n v="37278.5"/>
    <m/>
    <m/>
    <m/>
    <m/>
  </r>
  <r>
    <x v="5"/>
    <s v="Western Kentucky University "/>
    <m/>
    <n v="157951"/>
    <x v="2"/>
    <n v="419381"/>
    <n v="398558.5"/>
    <n v="302934"/>
    <n v="297097.5"/>
    <n v="27013"/>
    <n v="20545"/>
    <n v="85774"/>
    <n v="3603"/>
    <n v="57"/>
    <n v="76520"/>
    <n v="4287"/>
    <n v="109"/>
    <m/>
    <m/>
    <n v="37408"/>
    <n v="34742.5"/>
    <n v="14748"/>
    <n v="13219"/>
    <n v="979"/>
    <n v="1038"/>
    <n v="21459"/>
    <n v="213"/>
    <n v="9"/>
    <n v="20392.5"/>
    <n v="30"/>
    <n v="63"/>
    <m/>
    <m/>
  </r>
  <r>
    <x v="5"/>
    <s v="Kentucky State University "/>
    <m/>
    <n v="157058"/>
    <x v="3"/>
    <n v="43504"/>
    <n v="44950.5"/>
    <n v="30501"/>
    <n v="29106.5"/>
    <m/>
    <m/>
    <n v="13002"/>
    <n v="1"/>
    <m/>
    <n v="15842"/>
    <n v="2"/>
    <m/>
    <m/>
    <m/>
    <n v="1885"/>
    <n v="1714.5"/>
    <n v="1495"/>
    <n v="1243.5"/>
    <m/>
    <m/>
    <n v="390"/>
    <m/>
    <m/>
    <n v="471"/>
    <m/>
    <m/>
    <m/>
    <m/>
  </r>
  <r>
    <x v="5"/>
    <s v="Bluegrass Community and Technical College"/>
    <m/>
    <n v="157173"/>
    <x v="6"/>
    <n v="189108"/>
    <n v="195501.72"/>
    <n v="108959"/>
    <n v="113270.72"/>
    <n v="6166"/>
    <n v="6256"/>
    <n v="73983"/>
    <m/>
    <m/>
    <n v="75975"/>
    <m/>
    <m/>
    <m/>
    <m/>
    <n v="0"/>
    <n v="0"/>
    <m/>
    <m/>
    <m/>
    <m/>
    <m/>
    <m/>
    <m/>
    <m/>
    <m/>
    <m/>
    <m/>
    <m/>
  </r>
  <r>
    <x v="5"/>
    <s v="Jefferson Community and Technical College "/>
    <m/>
    <n v="156921"/>
    <x v="6"/>
    <n v="191032"/>
    <n v="192028.3"/>
    <n v="120251"/>
    <n v="114809.3"/>
    <n v="9999"/>
    <n v="15862"/>
    <n v="60782"/>
    <m/>
    <m/>
    <n v="61357"/>
    <m/>
    <m/>
    <m/>
    <m/>
    <n v="0"/>
    <n v="0"/>
    <m/>
    <m/>
    <m/>
    <m/>
    <m/>
    <m/>
    <m/>
    <m/>
    <m/>
    <m/>
    <m/>
    <m/>
  </r>
  <r>
    <x v="5"/>
    <s v="Ashland Community and Technical College"/>
    <s v="Reclassified: Met the criteria for Two-Year 3 in 2017-18, 2018-19, and 2019-20."/>
    <n v="156231"/>
    <x v="8"/>
    <n v="55450"/>
    <n v="55454"/>
    <n v="29745"/>
    <n v="29898"/>
    <n v="2825"/>
    <n v="2838"/>
    <n v="22880"/>
    <m/>
    <m/>
    <n v="22718"/>
    <m/>
    <m/>
    <m/>
    <m/>
    <n v="0"/>
    <n v="0"/>
    <m/>
    <m/>
    <m/>
    <m/>
    <m/>
    <m/>
    <m/>
    <m/>
    <m/>
    <m/>
    <m/>
    <m/>
  </r>
  <r>
    <x v="5"/>
    <s v="Big Sandy Community and Technical College "/>
    <s v="Met the criteria for Two-Year 3 in 2019-20."/>
    <n v="157553"/>
    <x v="7"/>
    <n v="65854"/>
    <n v="59334.3"/>
    <n v="29683"/>
    <n v="24487.3"/>
    <n v="884"/>
    <n v="337"/>
    <n v="35287"/>
    <m/>
    <m/>
    <n v="34510"/>
    <m/>
    <m/>
    <m/>
    <m/>
    <n v="0"/>
    <n v="0"/>
    <m/>
    <m/>
    <m/>
    <m/>
    <m/>
    <m/>
    <m/>
    <m/>
    <m/>
    <m/>
    <m/>
    <m/>
  </r>
  <r>
    <x v="5"/>
    <s v="Elizabethtown Community and Technical College "/>
    <m/>
    <n v="156648"/>
    <x v="7"/>
    <n v="107071"/>
    <n v="107299.18"/>
    <n v="51452"/>
    <n v="49926.080000000002"/>
    <n v="5866"/>
    <n v="7217"/>
    <n v="49753"/>
    <m/>
    <m/>
    <n v="50156.1"/>
    <m/>
    <m/>
    <m/>
    <m/>
    <n v="0"/>
    <n v="0"/>
    <m/>
    <m/>
    <m/>
    <m/>
    <m/>
    <m/>
    <m/>
    <m/>
    <m/>
    <m/>
    <m/>
    <m/>
  </r>
  <r>
    <x v="5"/>
    <s v="Maysville Community and Technical College "/>
    <m/>
    <n v="157331"/>
    <x v="7"/>
    <n v="68819"/>
    <n v="47106.400000000001"/>
    <n v="27703"/>
    <n v="24382.400000000001"/>
    <n v="8622"/>
    <n v="1107"/>
    <n v="32494"/>
    <m/>
    <m/>
    <n v="21617"/>
    <m/>
    <m/>
    <m/>
    <m/>
    <n v="0"/>
    <n v="0"/>
    <m/>
    <m/>
    <m/>
    <m/>
    <m/>
    <m/>
    <m/>
    <m/>
    <m/>
    <m/>
    <m/>
    <m/>
  </r>
  <r>
    <x v="5"/>
    <s v="Owensboro Community and Technical College "/>
    <m/>
    <n v="247940"/>
    <x v="7"/>
    <n v="67499"/>
    <n v="50659.79"/>
    <n v="41944"/>
    <n v="21542.79"/>
    <n v="3656"/>
    <n v="6255"/>
    <n v="21899"/>
    <m/>
    <m/>
    <n v="22862"/>
    <m/>
    <m/>
    <m/>
    <m/>
    <n v="0"/>
    <n v="0"/>
    <m/>
    <m/>
    <m/>
    <m/>
    <m/>
    <m/>
    <m/>
    <m/>
    <m/>
    <m/>
    <m/>
    <m/>
  </r>
  <r>
    <x v="5"/>
    <s v="Somerset Community and Technical College "/>
    <m/>
    <n v="157711"/>
    <x v="7"/>
    <n v="109264"/>
    <n v="64729.2"/>
    <n v="39060"/>
    <n v="27105.200000000001"/>
    <n v="4627"/>
    <n v="6923"/>
    <n v="65577"/>
    <m/>
    <m/>
    <n v="30701"/>
    <m/>
    <m/>
    <m/>
    <m/>
    <n v="0"/>
    <n v="0"/>
    <m/>
    <m/>
    <m/>
    <m/>
    <m/>
    <m/>
    <m/>
    <m/>
    <m/>
    <m/>
    <m/>
    <m/>
  </r>
  <r>
    <x v="5"/>
    <s v="West Kentucky Community and Technical College"/>
    <m/>
    <n v="157483"/>
    <x v="7"/>
    <n v="96971"/>
    <n v="71494.2"/>
    <n v="50247"/>
    <n v="43930.2"/>
    <n v="5601"/>
    <n v="4759"/>
    <n v="41123"/>
    <m/>
    <m/>
    <n v="22805"/>
    <m/>
    <m/>
    <m/>
    <m/>
    <n v="0"/>
    <n v="0"/>
    <m/>
    <m/>
    <m/>
    <m/>
    <m/>
    <m/>
    <m/>
    <m/>
    <m/>
    <m/>
    <m/>
    <m/>
  </r>
  <r>
    <x v="5"/>
    <s v="Hazard Community and Technical College"/>
    <m/>
    <n v="156790"/>
    <x v="8"/>
    <n v="55038"/>
    <n v="102499.2"/>
    <n v="19036"/>
    <n v="37046.199999999997"/>
    <n v="2776"/>
    <n v="5006"/>
    <n v="33226"/>
    <m/>
    <m/>
    <n v="60447"/>
    <m/>
    <m/>
    <m/>
    <m/>
    <n v="0"/>
    <n v="0"/>
    <m/>
    <m/>
    <m/>
    <m/>
    <m/>
    <m/>
    <m/>
    <m/>
    <m/>
    <m/>
    <m/>
    <m/>
  </r>
  <r>
    <x v="5"/>
    <s v="Henderson Community College "/>
    <m/>
    <n v="156851"/>
    <x v="8"/>
    <n v="27419"/>
    <n v="53702.79"/>
    <n v="12489"/>
    <n v="28043.79"/>
    <n v="2859"/>
    <m/>
    <n v="12071"/>
    <m/>
    <m/>
    <n v="25659"/>
    <m/>
    <m/>
    <m/>
    <m/>
    <n v="0"/>
    <n v="0"/>
    <m/>
    <m/>
    <m/>
    <m/>
    <m/>
    <m/>
    <m/>
    <m/>
    <m/>
    <m/>
    <m/>
    <m/>
  </r>
  <r>
    <x v="5"/>
    <s v="Hopkinsville Community College "/>
    <m/>
    <n v="156860"/>
    <x v="8"/>
    <n v="46952"/>
    <n v="94718.170000000013"/>
    <n v="24202"/>
    <n v="48121.37"/>
    <n v="1219"/>
    <n v="7069"/>
    <n v="21531"/>
    <m/>
    <m/>
    <n v="39527.800000000003"/>
    <m/>
    <m/>
    <m/>
    <m/>
    <n v="0"/>
    <n v="0"/>
    <m/>
    <m/>
    <m/>
    <m/>
    <m/>
    <m/>
    <m/>
    <m/>
    <m/>
    <m/>
    <m/>
    <m/>
  </r>
  <r>
    <x v="5"/>
    <s v="Madisonville Community College"/>
    <m/>
    <n v="157304"/>
    <x v="8"/>
    <n v="49982"/>
    <n v="54952.31"/>
    <n v="21259"/>
    <n v="17943.009999999998"/>
    <n v="5988"/>
    <n v="3755.3"/>
    <n v="22735"/>
    <m/>
    <m/>
    <n v="33254"/>
    <m/>
    <m/>
    <m/>
    <m/>
    <n v="0"/>
    <n v="0"/>
    <m/>
    <m/>
    <m/>
    <m/>
    <m/>
    <m/>
    <m/>
    <m/>
    <m/>
    <m/>
    <m/>
    <m/>
  </r>
  <r>
    <x v="5"/>
    <s v="Southeast Kentucky Community and Technical College"/>
    <m/>
    <n v="157739"/>
    <x v="8"/>
    <n v="54900"/>
    <n v="25803"/>
    <n v="30970"/>
    <n v="11922"/>
    <m/>
    <n v="2351"/>
    <n v="23930"/>
    <m/>
    <m/>
    <n v="11530"/>
    <m/>
    <m/>
    <m/>
    <m/>
    <n v="0"/>
    <n v="0"/>
    <m/>
    <m/>
    <m/>
    <m/>
    <m/>
    <m/>
    <m/>
    <m/>
    <m/>
    <m/>
    <m/>
    <m/>
  </r>
  <r>
    <x v="5"/>
    <s v="Gateway Community and Technical College"/>
    <m/>
    <n v="157438"/>
    <x v="9"/>
    <n v="70417"/>
    <n v="74168.600000000006"/>
    <n v="46248"/>
    <n v="45793.599999999999"/>
    <n v="1814"/>
    <n v="2278"/>
    <n v="22355"/>
    <m/>
    <m/>
    <n v="26097"/>
    <m/>
    <m/>
    <m/>
    <m/>
    <n v="0"/>
    <n v="0"/>
    <m/>
    <m/>
    <m/>
    <m/>
    <m/>
    <m/>
    <m/>
    <m/>
    <m/>
    <m/>
    <m/>
    <m/>
  </r>
  <r>
    <x v="5"/>
    <s v="Southcentral Kentucky Community and Technical College"/>
    <m/>
    <n v="156338"/>
    <x v="9"/>
    <n v="79544"/>
    <n v="80352.7"/>
    <n v="48771"/>
    <n v="48628.7"/>
    <n v="6013"/>
    <n v="5915"/>
    <n v="24760"/>
    <m/>
    <m/>
    <n v="25809"/>
    <m/>
    <m/>
    <m/>
    <m/>
    <n v="0"/>
    <n v="0"/>
    <m/>
    <m/>
    <m/>
    <m/>
    <m/>
    <m/>
    <m/>
    <m/>
    <m/>
    <m/>
    <m/>
    <m/>
  </r>
  <r>
    <x v="6"/>
    <s v="Louisiana State University and A&amp;M College"/>
    <m/>
    <n v="159391"/>
    <x v="0"/>
    <n v="697351.99999999977"/>
    <n v="701521.99999999988"/>
    <n v="672267.39568345295"/>
    <n v="669282.60641848505"/>
    <m/>
    <m/>
    <n v="25084.6043165468"/>
    <m/>
    <m/>
    <n v="32239.3935815148"/>
    <m/>
    <m/>
    <m/>
    <m/>
    <n v="137669.49999999959"/>
    <n v="143983.50000000038"/>
    <n v="129604.502929115"/>
    <n v="133418.73170494399"/>
    <m/>
    <m/>
    <n v="8064.9970708845904"/>
    <m/>
    <m/>
    <n v="10564.768295056399"/>
    <m/>
    <m/>
    <m/>
    <m/>
  </r>
  <r>
    <x v="6"/>
    <s v="Louisiana Tech University "/>
    <m/>
    <n v="159647"/>
    <x v="1"/>
    <n v="273800.00000000017"/>
    <n v="266965.00000000017"/>
    <n v="237007.931112622"/>
    <n v="228469.24582284299"/>
    <m/>
    <m/>
    <n v="36792.068887378198"/>
    <m/>
    <m/>
    <n v="38495.7541771572"/>
    <m/>
    <m/>
    <m/>
    <m/>
    <n v="23077.999999999949"/>
    <n v="22038"/>
    <n v="18266.093360995801"/>
    <n v="16013.695825049699"/>
    <m/>
    <m/>
    <n v="4811.9066390041498"/>
    <m/>
    <m/>
    <n v="6024.3041749503"/>
    <m/>
    <m/>
    <m/>
    <m/>
  </r>
  <r>
    <x v="6"/>
    <s v="University of Louisiana at Lafayette"/>
    <m/>
    <n v="160658"/>
    <x v="1"/>
    <n v="402896.00000000041"/>
    <n v="386247.99999999959"/>
    <n v="358651.903104253"/>
    <n v="336911.29300291499"/>
    <m/>
    <m/>
    <n v="44244.096895747403"/>
    <m/>
    <m/>
    <n v="49336.706997084599"/>
    <m/>
    <m/>
    <m/>
    <m/>
    <n v="32602.000000000018"/>
    <n v="38718.999999999993"/>
    <n v="27878.036734693898"/>
    <n v="31832.899367088601"/>
    <m/>
    <m/>
    <n v="4723.9632653061199"/>
    <m/>
    <m/>
    <n v="6886.1006329113898"/>
    <m/>
    <m/>
    <m/>
    <m/>
  </r>
  <r>
    <x v="6"/>
    <s v="University of New Orleans"/>
    <m/>
    <n v="159939"/>
    <x v="1"/>
    <n v="163642.99999999951"/>
    <n v="165664.99999999971"/>
    <n v="136929.518117295"/>
    <n v="138525.341296928"/>
    <m/>
    <m/>
    <n v="26713.481882704498"/>
    <m/>
    <m/>
    <n v="27139.658703071698"/>
    <m/>
    <m/>
    <m/>
    <m/>
    <n v="22842.99999999996"/>
    <n v="23311.000000000022"/>
    <n v="18461.871543264901"/>
    <n v="18787.0323450135"/>
    <m/>
    <m/>
    <n v="4381.1284567350604"/>
    <m/>
    <m/>
    <n v="4523.9676549865198"/>
    <m/>
    <m/>
    <m/>
    <m/>
  </r>
  <r>
    <x v="6"/>
    <s v="McNeese State University"/>
    <m/>
    <n v="159717"/>
    <x v="2"/>
    <n v="186338.99999999959"/>
    <n v="182438.99999999971"/>
    <n v="142010.843729263"/>
    <n v="139121.27453625601"/>
    <m/>
    <m/>
    <n v="44328.156270736603"/>
    <m/>
    <m/>
    <n v="43317.7254637437"/>
    <m/>
    <m/>
    <m/>
    <m/>
    <n v="10635"/>
    <n v="10602.999999999989"/>
    <n v="4688.0816326530603"/>
    <n v="4582.8290766208202"/>
    <m/>
    <m/>
    <n v="5946.9183673469397"/>
    <m/>
    <m/>
    <n v="6020.1709233791698"/>
    <m/>
    <m/>
    <m/>
    <m/>
  </r>
  <r>
    <x v="6"/>
    <s v="Southeastern Louisiana University "/>
    <m/>
    <n v="160612"/>
    <x v="2"/>
    <n v="325019.99999999977"/>
    <n v="326452.00000000052"/>
    <n v="270116.75134433497"/>
    <n v="269224.64283108403"/>
    <m/>
    <m/>
    <n v="54903.2486556648"/>
    <m/>
    <m/>
    <n v="57227.357168916496"/>
    <m/>
    <m/>
    <m/>
    <m/>
    <n v="16667.000000000029"/>
    <n v="16816.00000000004"/>
    <n v="11636.8693693694"/>
    <n v="11451.6199095023"/>
    <m/>
    <m/>
    <n v="5030.1306306306296"/>
    <m/>
    <m/>
    <n v="5364.3800904977397"/>
    <m/>
    <m/>
    <m/>
    <m/>
  </r>
  <r>
    <x v="6"/>
    <s v="Southern University and A&amp;M College at Baton Rouge "/>
    <m/>
    <n v="160621"/>
    <x v="2"/>
    <n v="154319.0000000002"/>
    <n v="158809"/>
    <n v="138649.00466451401"/>
    <n v="139604.96740273401"/>
    <m/>
    <m/>
    <n v="15669.995335486199"/>
    <m/>
    <m/>
    <n v="19204.032597265999"/>
    <m/>
    <m/>
    <m/>
    <m/>
    <n v="16591.99999999996"/>
    <n v="15770.999999999949"/>
    <n v="14301.387755102"/>
    <n v="13542.697929354399"/>
    <m/>
    <m/>
    <n v="2290.61224489796"/>
    <m/>
    <m/>
    <n v="2228.30207064555"/>
    <m/>
    <m/>
    <m/>
    <m/>
  </r>
  <r>
    <x v="6"/>
    <s v="University of Louisiana at Monroe"/>
    <m/>
    <n v="159993"/>
    <x v="2"/>
    <n v="191309.99999999951"/>
    <n v="180638"/>
    <n v="139134.545454545"/>
    <n v="131137.20000000001"/>
    <m/>
    <m/>
    <n v="52175.4545454545"/>
    <m/>
    <m/>
    <n v="49500.800000000003"/>
    <m/>
    <m/>
    <m/>
    <m/>
    <n v="33018"/>
    <n v="38869"/>
    <n v="13938.5778491172"/>
    <n v="15671.171965317901"/>
    <m/>
    <m/>
    <n v="19079.422150882801"/>
    <m/>
    <m/>
    <n v="23197.828034682101"/>
    <m/>
    <m/>
    <m/>
    <m/>
  </r>
  <r>
    <x v="6"/>
    <s v="Grambling State University"/>
    <m/>
    <n v="159009"/>
    <x v="3"/>
    <n v="121264.99999999967"/>
    <n v="120395.00000000029"/>
    <n v="111761.892935982"/>
    <n v="109480.068681319"/>
    <m/>
    <m/>
    <n v="9503.1070640176604"/>
    <m/>
    <m/>
    <n v="10914.9313186813"/>
    <m/>
    <m/>
    <m/>
    <m/>
    <n v="19113.999999999982"/>
    <n v="18096.00000000004"/>
    <n v="15582.6744868035"/>
    <n v="10241.142857142901"/>
    <m/>
    <m/>
    <n v="3531.3255131964802"/>
    <m/>
    <m/>
    <n v="7854.8571428571404"/>
    <m/>
    <m/>
    <m/>
    <m/>
  </r>
  <r>
    <x v="6"/>
    <s v="Louisiana State University in Shreveport"/>
    <m/>
    <n v="159416"/>
    <x v="3"/>
    <n v="58957"/>
    <n v="59855"/>
    <n v="40382.772727272699"/>
    <n v="36477.586588061902"/>
    <m/>
    <m/>
    <n v="18574.227272727301"/>
    <m/>
    <m/>
    <n v="23377.413411938101"/>
    <m/>
    <m/>
    <m/>
    <m/>
    <n v="70206"/>
    <n v="97416"/>
    <n v="26258.149606299201"/>
    <n v="26470.066350710898"/>
    <m/>
    <m/>
    <n v="43947.850393700799"/>
    <m/>
    <m/>
    <n v="70945.933649289102"/>
    <m/>
    <m/>
    <m/>
    <m/>
  </r>
  <r>
    <x v="6"/>
    <s v="Nicholls State University "/>
    <m/>
    <n v="159966"/>
    <x v="3"/>
    <n v="155423.99999999991"/>
    <n v="158842.00000000029"/>
    <n v="105613.133786848"/>
    <n v="108835.103346819"/>
    <m/>
    <m/>
    <n v="49810.866213151901"/>
    <m/>
    <m/>
    <n v="50006.896653181298"/>
    <m/>
    <m/>
    <m/>
    <m/>
    <n v="10075"/>
    <n v="10308"/>
    <n v="4520.8333333333303"/>
    <n v="3759.38823529412"/>
    <m/>
    <m/>
    <n v="5554.1666666666697"/>
    <m/>
    <m/>
    <n v="6548.61176470588"/>
    <m/>
    <m/>
    <m/>
    <m/>
  </r>
  <r>
    <x v="6"/>
    <s v="Northwestern State University"/>
    <m/>
    <n v="160038"/>
    <x v="3"/>
    <n v="239272"/>
    <n v="240675.99999999988"/>
    <n v="158505.96075010899"/>
    <n v="159196.63019333599"/>
    <m/>
    <m/>
    <n v="80766.039249890993"/>
    <m/>
    <m/>
    <n v="81479.369806663904"/>
    <m/>
    <m/>
    <m/>
    <m/>
    <n v="15274.999999999989"/>
    <n v="14528.999999999991"/>
    <n v="4324.3309859154897"/>
    <n v="3384.5965909090901"/>
    <m/>
    <m/>
    <n v="10950.6690140845"/>
    <m/>
    <m/>
    <n v="11144.403409090901"/>
    <m/>
    <m/>
    <m/>
    <m/>
  </r>
  <r>
    <x v="6"/>
    <s v="Southern University at New Orleans"/>
    <m/>
    <n v="160630"/>
    <x v="4"/>
    <n v="48565.000000000015"/>
    <n v="46277"/>
    <n v="41698.227459016402"/>
    <n v="32266.1875"/>
    <m/>
    <m/>
    <n v="6866.7725409836103"/>
    <m/>
    <m/>
    <n v="14010.8125"/>
    <m/>
    <m/>
    <m/>
    <m/>
    <n v="9486"/>
    <n v="8874"/>
    <n v="8218.4741379310308"/>
    <n v="6487.2"/>
    <m/>
    <m/>
    <n v="1267.5258620689699"/>
    <m/>
    <m/>
    <n v="2386.8000000000002"/>
    <m/>
    <m/>
    <m/>
    <m/>
  </r>
  <r>
    <x v="6"/>
    <s v="Louisiana State University at Alexandria"/>
    <m/>
    <n v="159382"/>
    <x v="5"/>
    <n v="74440"/>
    <n v="75010"/>
    <n v="46504.698181818203"/>
    <n v="43707.033356990803"/>
    <m/>
    <m/>
    <n v="27935.301818181801"/>
    <m/>
    <m/>
    <n v="31302.9666430092"/>
    <m/>
    <m/>
    <m/>
    <m/>
    <n v="0"/>
    <n v="0"/>
    <m/>
    <m/>
    <m/>
    <m/>
    <m/>
    <m/>
    <m/>
    <m/>
    <m/>
    <m/>
    <m/>
    <m/>
  </r>
  <r>
    <x v="6"/>
    <s v="Baton Rouge Community College"/>
    <m/>
    <n v="437103"/>
    <x v="6"/>
    <n v="167576.99999999988"/>
    <n v="166797"/>
    <n v="138734.77124182999"/>
    <n v="129903.99472402599"/>
    <m/>
    <m/>
    <n v="28842.228758169898"/>
    <m/>
    <m/>
    <n v="36893.005275973999"/>
    <m/>
    <m/>
    <m/>
    <m/>
    <n v="0"/>
    <n v="0"/>
    <m/>
    <m/>
    <m/>
    <m/>
    <m/>
    <m/>
    <m/>
    <m/>
    <m/>
    <m/>
    <m/>
    <m/>
  </r>
  <r>
    <x v="6"/>
    <s v="Bossier Parish Community College"/>
    <s v="Reclassified: Met the criteria for Two-Year 2 in 2017-18, 2018-19, and 2019-20."/>
    <n v="158431"/>
    <x v="7"/>
    <n v="140946"/>
    <n v="134390"/>
    <n v="93499.980246913605"/>
    <n v="87769.752212389401"/>
    <m/>
    <m/>
    <n v="47446.019753086402"/>
    <m/>
    <m/>
    <n v="46620.247787610599"/>
    <m/>
    <m/>
    <m/>
    <m/>
    <n v="0"/>
    <n v="0"/>
    <m/>
    <m/>
    <m/>
    <m/>
    <m/>
    <m/>
    <m/>
    <m/>
    <m/>
    <m/>
    <m/>
    <m/>
  </r>
  <r>
    <x v="6"/>
    <s v="Delgado Community College "/>
    <m/>
    <n v="158662"/>
    <x v="6"/>
    <n v="275947.99999999988"/>
    <n v="273512.99999999988"/>
    <n v="224389.805770584"/>
    <n v="217655.065013774"/>
    <m/>
    <m/>
    <n v="51558.194229415902"/>
    <m/>
    <m/>
    <n v="55857.934986225897"/>
    <m/>
    <m/>
    <m/>
    <m/>
    <n v="0"/>
    <n v="0"/>
    <m/>
    <m/>
    <m/>
    <m/>
    <m/>
    <m/>
    <m/>
    <m/>
    <m/>
    <m/>
    <m/>
    <m/>
  </r>
  <r>
    <x v="6"/>
    <s v="Louisiana Delta Community College"/>
    <m/>
    <n v="483212"/>
    <x v="7"/>
    <n v="80300"/>
    <n v="92065.5"/>
    <n v="57146.389385047201"/>
    <n v="59104.843017806903"/>
    <m/>
    <m/>
    <n v="23153.610614952799"/>
    <m/>
    <m/>
    <n v="32960.656982193097"/>
    <m/>
    <m/>
    <m/>
    <m/>
    <n v="0"/>
    <n v="0"/>
    <m/>
    <m/>
    <m/>
    <m/>
    <m/>
    <m/>
    <m/>
    <m/>
    <m/>
    <m/>
    <m/>
    <m/>
  </r>
  <r>
    <x v="6"/>
    <s v="South Louisiana Community College"/>
    <m/>
    <n v="434061"/>
    <x v="7"/>
    <n v="138411.00000000041"/>
    <n v="142944"/>
    <n v="118152.085066163"/>
    <n v="112052.87615610199"/>
    <m/>
    <m/>
    <n v="20258.914933837401"/>
    <m/>
    <m/>
    <n v="30891.123843898"/>
    <m/>
    <m/>
    <m/>
    <m/>
    <n v="0"/>
    <n v="0"/>
    <m/>
    <m/>
    <m/>
    <m/>
    <m/>
    <m/>
    <m/>
    <m/>
    <m/>
    <m/>
    <m/>
    <m/>
  </r>
  <r>
    <x v="6"/>
    <s v="Southern University in Shreveport"/>
    <m/>
    <n v="160649"/>
    <x v="7"/>
    <n v="60297"/>
    <n v="65648"/>
    <n v="48237.599999999999"/>
    <n v="51059.555555555598"/>
    <m/>
    <m/>
    <n v="12059.4"/>
    <m/>
    <m/>
    <n v="14588.4444444444"/>
    <m/>
    <m/>
    <m/>
    <m/>
    <n v="0"/>
    <n v="0"/>
    <m/>
    <m/>
    <m/>
    <m/>
    <m/>
    <m/>
    <m/>
    <m/>
    <m/>
    <m/>
    <m/>
    <m/>
  </r>
  <r>
    <x v="6"/>
    <s v="Louisiana State University at Eunice"/>
    <s v="Met the criteria for Two-Year 2 in 2018-19 and 2019-20."/>
    <n v="159407"/>
    <x v="8"/>
    <n v="63178"/>
    <n v="61881"/>
    <n v="42639.144486691999"/>
    <n v="41133.020527859197"/>
    <m/>
    <m/>
    <n v="20538.855513308001"/>
    <m/>
    <m/>
    <n v="20747.9794721408"/>
    <m/>
    <m/>
    <m/>
    <m/>
    <n v="0"/>
    <n v="0"/>
    <m/>
    <m/>
    <m/>
    <m/>
    <m/>
    <m/>
    <m/>
    <m/>
    <m/>
    <m/>
    <m/>
    <m/>
  </r>
  <r>
    <x v="6"/>
    <s v="Nunez Community College"/>
    <m/>
    <n v="158884"/>
    <x v="8"/>
    <n v="45520"/>
    <n v="43840"/>
    <n v="29164.712755598801"/>
    <n v="26879.676767676799"/>
    <m/>
    <m/>
    <n v="16355.287244401199"/>
    <m/>
    <m/>
    <n v="16960.323232323201"/>
    <m/>
    <m/>
    <m/>
    <m/>
    <n v="0"/>
    <n v="0"/>
    <m/>
    <m/>
    <m/>
    <m/>
    <m/>
    <m/>
    <m/>
    <m/>
    <m/>
    <m/>
    <m/>
    <m/>
  </r>
  <r>
    <x v="6"/>
    <s v="River Parishes Community College"/>
    <s v="Met the criteria for Two-Year 2 in 2018-19 and 2019-20."/>
    <n v="436304"/>
    <x v="8"/>
    <n v="65304.000000000036"/>
    <n v="61520"/>
    <n v="55942.576371725198"/>
    <n v="51212.060630888998"/>
    <m/>
    <m/>
    <n v="9361.4236282748407"/>
    <m/>
    <m/>
    <n v="10307.939369111"/>
    <m/>
    <m/>
    <m/>
    <m/>
    <n v="0"/>
    <n v="0"/>
    <m/>
    <m/>
    <m/>
    <m/>
    <m/>
    <m/>
    <m/>
    <m/>
    <m/>
    <m/>
    <m/>
    <m/>
  </r>
  <r>
    <x v="6"/>
    <s v="Central LA Technical Community College"/>
    <m/>
    <n v="158088"/>
    <x v="9"/>
    <n v="43623.999999999978"/>
    <n v="45534.000000000044"/>
    <n v="35297.963605586097"/>
    <n v="39137.602334306001"/>
    <m/>
    <m/>
    <n v="8326.0363944138808"/>
    <m/>
    <m/>
    <n v="6396.3976656940404"/>
    <m/>
    <m/>
    <m/>
    <m/>
    <n v="0"/>
    <n v="0"/>
    <m/>
    <m/>
    <m/>
    <m/>
    <m/>
    <m/>
    <m/>
    <m/>
    <m/>
    <m/>
    <m/>
    <m/>
  </r>
  <r>
    <x v="6"/>
    <s v="L.E. Fletcher Technical Community College"/>
    <m/>
    <n v="160481"/>
    <x v="9"/>
    <n v="44475"/>
    <n v="48244"/>
    <n v="32029.9775784753"/>
    <n v="31503.913253012"/>
    <m/>
    <m/>
    <n v="12445.0224215247"/>
    <m/>
    <m/>
    <n v="16740.086746988"/>
    <m/>
    <m/>
    <m/>
    <m/>
    <n v="0"/>
    <n v="0"/>
    <m/>
    <m/>
    <m/>
    <m/>
    <m/>
    <m/>
    <m/>
    <m/>
    <m/>
    <m/>
    <m/>
    <m/>
  </r>
  <r>
    <x v="6"/>
    <s v="Northshore Technical College"/>
    <m/>
    <n v="160667"/>
    <x v="9"/>
    <n v="68376"/>
    <n v="68473"/>
    <n v="54423.154852030297"/>
    <n v="52778.767286767303"/>
    <m/>
    <m/>
    <n v="13952.8451479697"/>
    <m/>
    <m/>
    <n v="15694.232713232699"/>
    <m/>
    <m/>
    <m/>
    <m/>
    <n v="0"/>
    <n v="0"/>
    <m/>
    <m/>
    <m/>
    <m/>
    <m/>
    <m/>
    <m/>
    <m/>
    <m/>
    <m/>
    <m/>
    <m/>
  </r>
  <r>
    <x v="6"/>
    <s v="Northwest LA Technical College"/>
    <s v="Reclassified: Met the criteria for Technical Institute or College 2 in 2017-18, 2018-19, and 2019-20."/>
    <n v="160010"/>
    <x v="10"/>
    <n v="23316.999999999996"/>
    <n v="24617.999999999996"/>
    <n v="23294.449709864599"/>
    <n v="24468.497975708498"/>
    <m/>
    <m/>
    <n v="22.550290135396502"/>
    <m/>
    <m/>
    <n v="149.502024291498"/>
    <m/>
    <m/>
    <m/>
    <m/>
    <n v="0"/>
    <n v="0"/>
    <m/>
    <m/>
    <m/>
    <m/>
    <m/>
    <m/>
    <m/>
    <m/>
    <m/>
    <m/>
    <m/>
    <m/>
  </r>
  <r>
    <x v="6"/>
    <s v="South Central LA Technical College"/>
    <s v="*Delete after 2017-18; campuses have been absorbed into other institutions."/>
    <n v="160913"/>
    <x v="9"/>
    <n v="0"/>
    <n v="0"/>
    <m/>
    <m/>
    <m/>
    <m/>
    <m/>
    <m/>
    <m/>
    <m/>
    <m/>
    <m/>
    <m/>
    <m/>
    <n v="0"/>
    <n v="0"/>
    <m/>
    <m/>
    <m/>
    <m/>
    <m/>
    <m/>
    <m/>
    <m/>
    <m/>
    <m/>
    <m/>
    <m/>
  </r>
  <r>
    <x v="6"/>
    <s v="Sowela Technical Community College"/>
    <m/>
    <n v="160579"/>
    <x v="9"/>
    <n v="70688"/>
    <n v="74465.5"/>
    <n v="58366.657198192399"/>
    <n v="61115.456926658902"/>
    <m/>
    <m/>
    <n v="12321.342801807599"/>
    <m/>
    <m/>
    <n v="13350.043073341099"/>
    <m/>
    <m/>
    <m/>
    <m/>
    <n v="0"/>
    <n v="0"/>
    <m/>
    <m/>
    <m/>
    <m/>
    <m/>
    <m/>
    <m/>
    <m/>
    <m/>
    <m/>
    <m/>
    <m/>
  </r>
  <r>
    <x v="6"/>
    <s v="Louisiana State University Health Sciences Center - New Orleans"/>
    <m/>
    <n v="159373"/>
    <x v="11"/>
    <n v="0"/>
    <n v="0"/>
    <m/>
    <m/>
    <m/>
    <m/>
    <m/>
    <m/>
    <m/>
    <m/>
    <m/>
    <m/>
    <m/>
    <m/>
    <n v="0"/>
    <n v="0"/>
    <m/>
    <m/>
    <m/>
    <m/>
    <m/>
    <m/>
    <m/>
    <m/>
    <m/>
    <m/>
    <m/>
    <m/>
  </r>
  <r>
    <x v="6"/>
    <s v="Louisiana State University Health Sciences Center - Shreveport"/>
    <m/>
    <n v="435000"/>
    <x v="11"/>
    <n v="0"/>
    <n v="0"/>
    <m/>
    <m/>
    <m/>
    <m/>
    <m/>
    <m/>
    <m/>
    <m/>
    <m/>
    <m/>
    <m/>
    <m/>
    <n v="0"/>
    <n v="0"/>
    <m/>
    <m/>
    <m/>
    <m/>
    <m/>
    <m/>
    <m/>
    <m/>
    <m/>
    <m/>
    <m/>
    <m/>
  </r>
  <r>
    <x v="6"/>
    <s v="Southern University Law Center"/>
    <m/>
    <n v="440916"/>
    <x v="11"/>
    <n v="0"/>
    <n v="0"/>
    <m/>
    <m/>
    <m/>
    <m/>
    <m/>
    <m/>
    <m/>
    <m/>
    <m/>
    <m/>
    <m/>
    <m/>
    <n v="17064"/>
    <n v="17788"/>
    <n v="16458"/>
    <n v="16339"/>
    <m/>
    <m/>
    <m/>
    <m/>
    <n v="606"/>
    <n v="1449"/>
    <m/>
    <m/>
    <m/>
    <m/>
  </r>
  <r>
    <x v="7"/>
    <s v="Allegany College of Maryland"/>
    <m/>
    <n v="161688"/>
    <x v="8"/>
    <n v="49593"/>
    <n v="47735"/>
    <n v="30819"/>
    <n v="28330"/>
    <n v="8712"/>
    <n v="8752"/>
    <n v="9166"/>
    <n v="896"/>
    <m/>
    <n v="9725"/>
    <n v="928"/>
    <m/>
    <m/>
    <n v="0"/>
    <n v="0"/>
    <n v="0"/>
    <n v="0"/>
    <n v="0"/>
    <n v="0"/>
    <n v="0"/>
    <n v="0"/>
    <n v="0"/>
    <n v="0"/>
    <n v="0"/>
    <n v="0"/>
    <n v="0"/>
    <m/>
    <m/>
  </r>
  <r>
    <x v="7"/>
    <s v="Anne Arundel Community College "/>
    <m/>
    <n v="161767"/>
    <x v="6"/>
    <n v="233503"/>
    <n v="227134"/>
    <n v="151595"/>
    <n v="141718"/>
    <n v="4519"/>
    <n v="5819"/>
    <n v="77129"/>
    <n v="260"/>
    <m/>
    <n v="79315"/>
    <n v="282"/>
    <m/>
    <m/>
    <n v="0"/>
    <n v="0"/>
    <n v="0"/>
    <n v="0"/>
    <n v="0"/>
    <n v="0"/>
    <n v="0"/>
    <n v="0"/>
    <n v="0"/>
    <n v="0"/>
    <n v="0"/>
    <n v="0"/>
    <n v="0"/>
    <m/>
    <m/>
  </r>
  <r>
    <x v="7"/>
    <s v="Baltimore City Community College"/>
    <m/>
    <n v="161864"/>
    <x v="7"/>
    <n v="82991.399999999994"/>
    <n v="85287"/>
    <n v="57526.9"/>
    <n v="62780"/>
    <n v="9504.5"/>
    <n v="1687"/>
    <n v="15960"/>
    <n v="0"/>
    <m/>
    <n v="20820"/>
    <n v="0"/>
    <m/>
    <m/>
    <n v="0"/>
    <n v="0"/>
    <n v="0"/>
    <n v="0"/>
    <n v="0"/>
    <n v="0"/>
    <n v="0"/>
    <n v="0"/>
    <n v="0"/>
    <n v="0"/>
    <n v="0"/>
    <n v="0"/>
    <n v="0"/>
    <m/>
    <m/>
  </r>
  <r>
    <x v="7"/>
    <s v="Carroll Community College"/>
    <s v="Met the criteria for Two-Year 3 in 2018-19 and 2019-20."/>
    <n v="405872"/>
    <x v="7"/>
    <n v="58589.5"/>
    <n v="56032.5"/>
    <n v="44027.5"/>
    <n v="41286.5"/>
    <n v="1909"/>
    <n v="1730"/>
    <n v="12602"/>
    <n v="51"/>
    <m/>
    <n v="13016"/>
    <n v="0"/>
    <m/>
    <m/>
    <n v="0"/>
    <n v="0"/>
    <n v="0"/>
    <n v="0"/>
    <n v="0"/>
    <n v="0"/>
    <n v="0"/>
    <n v="0"/>
    <n v="0"/>
    <n v="0"/>
    <n v="0"/>
    <n v="0"/>
    <n v="0"/>
    <m/>
    <m/>
  </r>
  <r>
    <x v="7"/>
    <s v="Cecil Community College "/>
    <m/>
    <n v="162104"/>
    <x v="8"/>
    <n v="42408"/>
    <n v="40934"/>
    <n v="28878"/>
    <n v="26765"/>
    <n v="2259"/>
    <n v="2655"/>
    <n v="11271"/>
    <n v="0"/>
    <m/>
    <n v="11514"/>
    <n v="0"/>
    <m/>
    <m/>
    <n v="0"/>
    <n v="0"/>
    <n v="0"/>
    <n v="0"/>
    <n v="0"/>
    <n v="0"/>
    <n v="0"/>
    <n v="0"/>
    <n v="0"/>
    <n v="0"/>
    <n v="0"/>
    <n v="0"/>
    <n v="0"/>
    <m/>
    <m/>
  </r>
  <r>
    <x v="7"/>
    <s v="Chesapeake College "/>
    <m/>
    <n v="162168"/>
    <x v="8"/>
    <n v="34688"/>
    <n v="35541"/>
    <n v="20086"/>
    <n v="19566"/>
    <n v="3735"/>
    <n v="3792"/>
    <n v="10178"/>
    <n v="689"/>
    <m/>
    <n v="11867"/>
    <n v="316"/>
    <m/>
    <m/>
    <n v="0"/>
    <n v="0"/>
    <n v="0"/>
    <n v="0"/>
    <n v="0"/>
    <n v="0"/>
    <n v="0"/>
    <n v="0"/>
    <n v="0"/>
    <n v="0"/>
    <n v="0"/>
    <n v="0"/>
    <n v="0"/>
    <m/>
    <m/>
  </r>
  <r>
    <x v="7"/>
    <s v="College of Southern Maryland"/>
    <s v="Reclassified: Met the criteria for Two-Year 2 in 2017-18, 2018-19, and 2019-20."/>
    <n v="162122"/>
    <x v="7"/>
    <n v="133732"/>
    <n v="123381"/>
    <n v="78847"/>
    <n v="68070"/>
    <n v="5693"/>
    <n v="5797"/>
    <n v="48878"/>
    <n v="314"/>
    <m/>
    <n v="48717"/>
    <n v="797"/>
    <m/>
    <m/>
    <n v="0"/>
    <n v="0"/>
    <n v="0"/>
    <n v="0"/>
    <n v="0"/>
    <n v="0"/>
    <n v="0"/>
    <n v="0"/>
    <n v="0"/>
    <n v="0"/>
    <n v="0"/>
    <n v="0"/>
    <n v="0"/>
    <m/>
    <m/>
  </r>
  <r>
    <x v="7"/>
    <s v="Community College of Baltimore County (all campuses)"/>
    <m/>
    <n v="434672"/>
    <x v="6"/>
    <n v="344522"/>
    <n v="318652"/>
    <n v="228868"/>
    <n v="205188"/>
    <n v="41334"/>
    <n v="35663"/>
    <n v="74320"/>
    <n v="0"/>
    <m/>
    <n v="77801"/>
    <n v="0"/>
    <m/>
    <m/>
    <n v="0"/>
    <n v="0"/>
    <n v="0"/>
    <n v="0"/>
    <n v="0"/>
    <n v="0"/>
    <n v="0"/>
    <n v="0"/>
    <n v="0"/>
    <n v="0"/>
    <n v="0"/>
    <n v="0"/>
    <n v="0"/>
    <m/>
    <m/>
  </r>
  <r>
    <x v="7"/>
    <s v="Frederick Community College "/>
    <m/>
    <n v="162557"/>
    <x v="7"/>
    <n v="107702"/>
    <n v="107486"/>
    <n v="75041"/>
    <n v="71066"/>
    <n v="7822"/>
    <n v="10053"/>
    <n v="24839"/>
    <n v="0"/>
    <m/>
    <n v="26367"/>
    <n v="0"/>
    <m/>
    <m/>
    <n v="0"/>
    <n v="0"/>
    <n v="0"/>
    <n v="0"/>
    <n v="0"/>
    <n v="0"/>
    <n v="0"/>
    <n v="0"/>
    <n v="0"/>
    <n v="0"/>
    <n v="0"/>
    <n v="0"/>
    <n v="0"/>
    <m/>
    <m/>
  </r>
  <r>
    <x v="7"/>
    <s v="Garrett College "/>
    <m/>
    <n v="162609"/>
    <x v="8"/>
    <n v="14581.5"/>
    <n v="14046"/>
    <n v="10413.5"/>
    <n v="9371"/>
    <n v="685"/>
    <n v="1134"/>
    <n v="3303"/>
    <n v="180"/>
    <m/>
    <n v="3541"/>
    <n v="0"/>
    <m/>
    <m/>
    <n v="0"/>
    <n v="0"/>
    <n v="0"/>
    <n v="0"/>
    <n v="0"/>
    <n v="0"/>
    <n v="0"/>
    <n v="0"/>
    <n v="0"/>
    <n v="0"/>
    <n v="0"/>
    <n v="0"/>
    <n v="0"/>
    <m/>
    <m/>
  </r>
  <r>
    <x v="7"/>
    <s v="Hagerstown Community College "/>
    <m/>
    <n v="162690"/>
    <x v="7"/>
    <n v="79544"/>
    <n v="71529"/>
    <n v="49376"/>
    <n v="44096"/>
    <n v="5254"/>
    <n v="4429"/>
    <n v="24818"/>
    <n v="0"/>
    <m/>
    <n v="22977"/>
    <n v="0"/>
    <m/>
    <n v="96"/>
    <n v="27"/>
    <n v="0"/>
    <n v="0"/>
    <n v="0"/>
    <n v="0"/>
    <n v="0"/>
    <n v="0"/>
    <n v="0"/>
    <n v="0"/>
    <n v="0"/>
    <n v="0"/>
    <n v="0"/>
    <n v="0"/>
    <m/>
    <m/>
  </r>
  <r>
    <x v="7"/>
    <s v="Harford Community College "/>
    <m/>
    <n v="162706"/>
    <x v="7"/>
    <n v="105968"/>
    <n v="103258"/>
    <n v="67225"/>
    <n v="66038"/>
    <n v="2572"/>
    <n v="1585"/>
    <n v="36171"/>
    <n v="0"/>
    <m/>
    <n v="35635"/>
    <n v="0"/>
    <m/>
    <m/>
    <n v="0"/>
    <n v="0"/>
    <n v="0"/>
    <n v="0"/>
    <n v="0"/>
    <n v="0"/>
    <n v="0"/>
    <n v="0"/>
    <n v="0"/>
    <n v="0"/>
    <n v="0"/>
    <n v="0"/>
    <n v="0"/>
    <m/>
    <m/>
  </r>
  <r>
    <x v="7"/>
    <s v="Howard Community College "/>
    <m/>
    <n v="162779"/>
    <x v="6"/>
    <n v="184652"/>
    <n v="174934"/>
    <n v="142588"/>
    <n v="134487"/>
    <n v="7811"/>
    <n v="10067"/>
    <n v="34253"/>
    <n v="0"/>
    <m/>
    <n v="30380"/>
    <n v="0"/>
    <m/>
    <m/>
    <n v="0"/>
    <n v="0"/>
    <n v="0"/>
    <n v="0"/>
    <n v="0"/>
    <n v="0"/>
    <n v="0"/>
    <n v="0"/>
    <n v="0"/>
    <n v="0"/>
    <n v="0"/>
    <n v="0"/>
    <n v="0"/>
    <m/>
    <m/>
  </r>
  <r>
    <x v="7"/>
    <s v="Montgomery College (all campuses)"/>
    <m/>
    <n v="163426"/>
    <x v="6"/>
    <n v="649848"/>
    <n v="651205.40999999992"/>
    <n v="485389"/>
    <n v="474125.6"/>
    <n v="88968"/>
    <n v="92989.11"/>
    <n v="75491"/>
    <n v="0"/>
    <m/>
    <n v="84090.7"/>
    <n v="0"/>
    <m/>
    <m/>
    <n v="0"/>
    <n v="0"/>
    <n v="0"/>
    <n v="0"/>
    <n v="0"/>
    <n v="0"/>
    <n v="0"/>
    <n v="0"/>
    <n v="0"/>
    <n v="0"/>
    <n v="0"/>
    <n v="0"/>
    <n v="0"/>
    <m/>
    <m/>
  </r>
  <r>
    <x v="7"/>
    <s v="Prince George's Community College "/>
    <m/>
    <n v="163657"/>
    <x v="6"/>
    <n v="391695"/>
    <n v="404108"/>
    <n v="179555"/>
    <n v="172343"/>
    <n v="167494"/>
    <n v="185023"/>
    <n v="44646"/>
    <n v="0"/>
    <m/>
    <n v="46742"/>
    <n v="0"/>
    <m/>
    <m/>
    <n v="0"/>
    <n v="0"/>
    <n v="0"/>
    <n v="0"/>
    <n v="0"/>
    <n v="0"/>
    <n v="0"/>
    <n v="0"/>
    <n v="0"/>
    <n v="0"/>
    <n v="0"/>
    <n v="0"/>
    <n v="0"/>
    <m/>
    <m/>
  </r>
  <r>
    <x v="7"/>
    <s v="Wor-Wic Community College "/>
    <m/>
    <n v="164313"/>
    <x v="8"/>
    <n v="52326.5"/>
    <n v="49154.5"/>
    <n v="37667.5"/>
    <n v="31510.5"/>
    <n v="2552"/>
    <n v="4864"/>
    <n v="11957"/>
    <n v="150"/>
    <m/>
    <n v="12525"/>
    <n v="255"/>
    <m/>
    <m/>
    <n v="0"/>
    <n v="0"/>
    <n v="0"/>
    <n v="0"/>
    <n v="0"/>
    <n v="0"/>
    <n v="0"/>
    <n v="0"/>
    <n v="0"/>
    <n v="0"/>
    <n v="0"/>
    <n v="0"/>
    <n v="0"/>
    <m/>
    <m/>
  </r>
  <r>
    <x v="7"/>
    <s v="Bowie State University "/>
    <s v="Met the criteria for Four-Year 3 in 2018-19 and 2019-20."/>
    <n v="162007"/>
    <x v="3"/>
    <n v="144158"/>
    <n v="141638"/>
    <n v="114104"/>
    <n v="110627"/>
    <n v="0"/>
    <n v="16"/>
    <n v="30054"/>
    <n v="0"/>
    <m/>
    <n v="30995"/>
    <n v="0"/>
    <m/>
    <m/>
    <n v="0"/>
    <n v="15018"/>
    <n v="15058"/>
    <n v="12697"/>
    <n v="11689"/>
    <n v="0"/>
    <n v="207"/>
    <n v="2321"/>
    <n v="0"/>
    <n v="0"/>
    <n v="3162"/>
    <n v="0"/>
    <n v="0"/>
    <m/>
    <m/>
  </r>
  <r>
    <x v="7"/>
    <s v="Coppin State University"/>
    <s v="Met the criteria for Four-Year 4 in 2019-20."/>
    <n v="162283"/>
    <x v="4"/>
    <n v="61715"/>
    <n v="60266"/>
    <n v="48596"/>
    <n v="48082"/>
    <n v="45"/>
    <n v="0"/>
    <n v="13074"/>
    <n v="0"/>
    <m/>
    <n v="12184"/>
    <n v="0"/>
    <m/>
    <m/>
    <n v="0"/>
    <n v="5201"/>
    <n v="4591"/>
    <n v="4291"/>
    <n v="3883"/>
    <n v="234"/>
    <n v="84"/>
    <n v="676"/>
    <n v="0"/>
    <n v="0"/>
    <n v="624"/>
    <n v="0"/>
    <n v="0"/>
    <m/>
    <m/>
  </r>
  <r>
    <x v="7"/>
    <s v="Frostburg State University "/>
    <m/>
    <n v="162584"/>
    <x v="3"/>
    <n v="128987"/>
    <n v="122893"/>
    <n v="99006"/>
    <n v="92082"/>
    <n v="3093"/>
    <n v="2350"/>
    <n v="26888"/>
    <n v="0"/>
    <m/>
    <n v="28461"/>
    <n v="0"/>
    <m/>
    <m/>
    <n v="0"/>
    <n v="9864"/>
    <n v="12242"/>
    <n v="4039"/>
    <n v="4604"/>
    <n v="480"/>
    <n v="1385"/>
    <n v="5345"/>
    <n v="0"/>
    <n v="0"/>
    <n v="6253"/>
    <n v="0"/>
    <n v="0"/>
    <m/>
    <m/>
  </r>
  <r>
    <x v="7"/>
    <s v="Salisbury University "/>
    <m/>
    <n v="163851"/>
    <x v="3"/>
    <n v="228174"/>
    <n v="226587"/>
    <n v="196008"/>
    <n v="192704"/>
    <n v="2604"/>
    <n v="2949"/>
    <n v="22775"/>
    <n v="6787"/>
    <m/>
    <n v="22931"/>
    <n v="8003"/>
    <m/>
    <m/>
    <n v="0"/>
    <n v="15405"/>
    <n v="15569"/>
    <n v="2375"/>
    <n v="2032"/>
    <n v="0"/>
    <n v="69"/>
    <n v="9649"/>
    <n v="3381"/>
    <n v="0"/>
    <n v="10338"/>
    <n v="3130"/>
    <n v="0"/>
    <m/>
    <m/>
  </r>
  <r>
    <x v="7"/>
    <s v="Towson University "/>
    <m/>
    <n v="164076"/>
    <x v="2"/>
    <n v="550848.5"/>
    <n v="549406.5"/>
    <n v="479082.5"/>
    <n v="471443.5"/>
    <n v="11986"/>
    <n v="12031"/>
    <n v="59780"/>
    <n v="0"/>
    <m/>
    <n v="65878"/>
    <n v="54"/>
    <m/>
    <m/>
    <n v="0"/>
    <n v="45223"/>
    <n v="44384"/>
    <n v="27769.5"/>
    <n v="26883"/>
    <n v="6545.5"/>
    <n v="6884"/>
    <n v="10908"/>
    <n v="0"/>
    <n v="0"/>
    <n v="10617"/>
    <n v="0"/>
    <n v="0"/>
    <m/>
    <m/>
  </r>
  <r>
    <x v="7"/>
    <s v="University of Baltimore"/>
    <m/>
    <n v="161873"/>
    <x v="2"/>
    <n v="58715"/>
    <n v="49150"/>
    <n v="40368"/>
    <n v="32248"/>
    <n v="1173"/>
    <n v="1104"/>
    <n v="17174"/>
    <n v="0"/>
    <m/>
    <n v="15798"/>
    <n v="0"/>
    <m/>
    <m/>
    <n v="0"/>
    <n v="42737"/>
    <n v="40994.5"/>
    <n v="30674"/>
    <n v="29313"/>
    <n v="1694"/>
    <n v="1297"/>
    <n v="10369"/>
    <n v="0"/>
    <n v="0"/>
    <n v="10384.5"/>
    <n v="0"/>
    <n v="0"/>
    <m/>
    <m/>
  </r>
  <r>
    <x v="7"/>
    <s v="University of Maryland, Baltimore"/>
    <m/>
    <n v="163259"/>
    <x v="11"/>
    <n v="22887"/>
    <n v="22681.5"/>
    <n v="11558"/>
    <n v="11379"/>
    <n v="7556.5"/>
    <n v="7408"/>
    <n v="3764"/>
    <n v="8.5"/>
    <m/>
    <n v="3894.5"/>
    <n v="0"/>
    <m/>
    <m/>
    <n v="0"/>
    <n v="52610"/>
    <n v="51874"/>
    <n v="26866"/>
    <n v="25949"/>
    <n v="7836"/>
    <n v="7355"/>
    <n v="17559"/>
    <n v="349"/>
    <n v="0"/>
    <n v="18305"/>
    <n v="265"/>
    <n v="0"/>
    <m/>
    <m/>
  </r>
  <r>
    <x v="7"/>
    <s v="University of Maryland, Baltimore County"/>
    <m/>
    <n v="163268"/>
    <x v="1"/>
    <n v="322423"/>
    <n v="314288.5"/>
    <n v="271847"/>
    <n v="261271.5"/>
    <n v="7335"/>
    <n v="7504"/>
    <n v="43241"/>
    <n v="0"/>
    <m/>
    <n v="45513"/>
    <n v="0"/>
    <m/>
    <m/>
    <n v="0"/>
    <n v="33987"/>
    <n v="34824"/>
    <n v="22714"/>
    <n v="24228"/>
    <n v="3527"/>
    <n v="2594"/>
    <n v="7746"/>
    <n v="0"/>
    <n v="0"/>
    <n v="8002"/>
    <n v="0"/>
    <n v="0"/>
    <m/>
    <m/>
  </r>
  <r>
    <x v="7"/>
    <s v="University of Maryland College Park"/>
    <m/>
    <n v="163286"/>
    <x v="0"/>
    <n v="864022"/>
    <n v="871990"/>
    <n v="808476"/>
    <n v="807620"/>
    <n v="15042"/>
    <n v="16044"/>
    <n v="39547"/>
    <n v="957"/>
    <m/>
    <n v="47510"/>
    <n v="816"/>
    <m/>
    <m/>
    <n v="0"/>
    <n v="159015"/>
    <n v="154217"/>
    <n v="122367"/>
    <n v="116229"/>
    <n v="16914"/>
    <n v="17969"/>
    <n v="19226"/>
    <n v="508"/>
    <n v="0"/>
    <n v="19674"/>
    <n v="345"/>
    <n v="0"/>
    <m/>
    <m/>
  </r>
  <r>
    <x v="7"/>
    <s v="University of Maryland Eastern Shore "/>
    <m/>
    <n v="163338"/>
    <x v="3"/>
    <n v="78210"/>
    <n v="68761"/>
    <n v="63022.5"/>
    <n v="55630.5"/>
    <n v="1590.5"/>
    <n v="1098.5"/>
    <n v="13597"/>
    <n v="0"/>
    <m/>
    <n v="12032"/>
    <n v="0"/>
    <m/>
    <m/>
    <n v="0"/>
    <n v="16488.5"/>
    <n v="15411.5"/>
    <n v="15276.5"/>
    <n v="14367.5"/>
    <n v="339"/>
    <n v="360"/>
    <n v="873"/>
    <n v="0"/>
    <n v="0"/>
    <n v="684"/>
    <n v="0"/>
    <n v="0"/>
    <m/>
    <m/>
  </r>
  <r>
    <x v="7"/>
    <s v="University of Maryland Global Campus"/>
    <m/>
    <n v="163204"/>
    <x v="11"/>
    <n v="822432"/>
    <n v="812451"/>
    <n v="0"/>
    <n v="0"/>
    <n v="41711"/>
    <n v="36867"/>
    <n v="780721"/>
    <n v="0"/>
    <m/>
    <n v="775584"/>
    <n v="0"/>
    <m/>
    <m/>
    <n v="0"/>
    <n v="208981"/>
    <n v="192417"/>
    <n v="0"/>
    <n v="0"/>
    <n v="1686"/>
    <n v="2868"/>
    <n v="207295"/>
    <n v="0"/>
    <n v="0"/>
    <n v="189549"/>
    <n v="0"/>
    <n v="0"/>
    <m/>
    <m/>
  </r>
  <r>
    <x v="7"/>
    <s v="Morgan State University"/>
    <m/>
    <n v="163453"/>
    <x v="1"/>
    <n v="190281"/>
    <n v="184511"/>
    <n v="176794"/>
    <n v="163691"/>
    <n v="48"/>
    <n v="88"/>
    <n v="13439"/>
    <n v="0"/>
    <m/>
    <n v="20732"/>
    <n v="0"/>
    <m/>
    <m/>
    <n v="0"/>
    <n v="24322"/>
    <n v="24608"/>
    <n v="19122"/>
    <n v="19131"/>
    <n v="93"/>
    <n v="63"/>
    <n v="5107"/>
    <n v="0"/>
    <n v="0"/>
    <n v="5414"/>
    <n v="0"/>
    <n v="0"/>
    <m/>
    <m/>
  </r>
  <r>
    <x v="7"/>
    <s v="Saint Mary's College of Maryland"/>
    <m/>
    <n v="163912"/>
    <x v="5"/>
    <n v="48085.5"/>
    <n v="46862"/>
    <n v="48013.5"/>
    <n v="46630"/>
    <n v="0"/>
    <n v="0"/>
    <n v="72"/>
    <n v="0"/>
    <m/>
    <n v="232"/>
    <n v="0"/>
    <m/>
    <m/>
    <n v="0"/>
    <n v="1333"/>
    <n v="1122"/>
    <n v="1333"/>
    <n v="1122"/>
    <n v="0"/>
    <n v="0"/>
    <n v="0"/>
    <n v="0"/>
    <n v="0"/>
    <n v="0"/>
    <n v="0"/>
    <n v="0"/>
    <m/>
    <m/>
  </r>
  <r>
    <x v="8"/>
    <s v="Mississippi State University"/>
    <m/>
    <n v="176080"/>
    <x v="0"/>
    <n v="523164"/>
    <n v="538054"/>
    <n v="476961"/>
    <n v="486740"/>
    <n v="9739"/>
    <n v="8441"/>
    <n v="35692"/>
    <n v="766"/>
    <n v="6"/>
    <n v="42532"/>
    <n v="339"/>
    <m/>
    <m/>
    <n v="2"/>
    <n v="54777"/>
    <n v="54242"/>
    <n v="38261"/>
    <n v="36980"/>
    <n v="1970"/>
    <n v="1943"/>
    <n v="14119"/>
    <n v="427"/>
    <m/>
    <n v="15047"/>
    <n v="272"/>
    <m/>
    <m/>
    <m/>
  </r>
  <r>
    <x v="8"/>
    <s v="University of Mississippi"/>
    <m/>
    <n v="176017"/>
    <x v="0"/>
    <n v="553585"/>
    <n v="530980"/>
    <n v="440627"/>
    <n v="408069"/>
    <n v="31637"/>
    <n v="30080"/>
    <n v="66554"/>
    <n v="10374"/>
    <m/>
    <n v="78296"/>
    <n v="9305"/>
    <m/>
    <n v="4393"/>
    <n v="5230"/>
    <n v="67783"/>
    <n v="69659"/>
    <n v="59273"/>
    <n v="61177"/>
    <n v="1230"/>
    <n v="712"/>
    <n v="6707"/>
    <n v="564"/>
    <m/>
    <n v="6822"/>
    <n v="864"/>
    <m/>
    <n v="9"/>
    <n v="84"/>
  </r>
  <r>
    <x v="8"/>
    <s v="University of Southern Mississippi"/>
    <m/>
    <n v="176372"/>
    <x v="0"/>
    <n v="332678"/>
    <n v="333866"/>
    <n v="209439"/>
    <n v="204149"/>
    <n v="26125"/>
    <n v="22389"/>
    <n v="94435"/>
    <n v="2679"/>
    <m/>
    <n v="104430"/>
    <n v="2898"/>
    <m/>
    <m/>
    <m/>
    <n v="51229"/>
    <n v="48532"/>
    <n v="27400"/>
    <n v="25910"/>
    <n v="3733"/>
    <n v="3662"/>
    <n v="19172"/>
    <n v="877"/>
    <m/>
    <n v="18696"/>
    <n v="264"/>
    <m/>
    <n v="47"/>
    <m/>
  </r>
  <r>
    <x v="8"/>
    <s v="Jackson State University "/>
    <m/>
    <n v="175856"/>
    <x v="1"/>
    <n v="151243"/>
    <n v="142216"/>
    <n v="102015"/>
    <n v="93305"/>
    <n v="2493"/>
    <n v="2755"/>
    <n v="46735"/>
    <m/>
    <m/>
    <n v="46156"/>
    <m/>
    <m/>
    <m/>
    <m/>
    <n v="29347"/>
    <n v="29693"/>
    <n v="9772"/>
    <n v="8824"/>
    <n v="5402"/>
    <n v="4805"/>
    <n v="14173"/>
    <m/>
    <m/>
    <n v="16064"/>
    <m/>
    <m/>
    <m/>
    <m/>
  </r>
  <r>
    <x v="8"/>
    <s v="Alcorn State University"/>
    <m/>
    <n v="175342"/>
    <x v="3"/>
    <n v="94590"/>
    <n v="92149"/>
    <n v="62426"/>
    <n v="57342"/>
    <n v="1889"/>
    <n v="2313"/>
    <n v="30275"/>
    <m/>
    <m/>
    <n v="32465"/>
    <m/>
    <n v="29"/>
    <m/>
    <m/>
    <n v="8396"/>
    <n v="7708"/>
    <n v="1680"/>
    <n v="1093"/>
    <n v="78"/>
    <n v="324"/>
    <n v="6638"/>
    <m/>
    <m/>
    <n v="6291"/>
    <m/>
    <m/>
    <m/>
    <m/>
  </r>
  <r>
    <x v="8"/>
    <s v="Delta State University"/>
    <m/>
    <n v="175616"/>
    <x v="3"/>
    <n v="73075"/>
    <n v="73223"/>
    <n v="52305"/>
    <n v="49459"/>
    <n v="6017"/>
    <n v="7184"/>
    <n v="14741"/>
    <m/>
    <n v="12"/>
    <n v="16577"/>
    <s v=" "/>
    <n v="3"/>
    <m/>
    <m/>
    <n v="21387"/>
    <n v="15719"/>
    <n v="2780"/>
    <n v="2523"/>
    <n v="0"/>
    <n v="9"/>
    <n v="18580"/>
    <m/>
    <n v="27"/>
    <n v="13172"/>
    <m/>
    <n v="15"/>
    <m/>
    <m/>
  </r>
  <r>
    <x v="8"/>
    <s v="Mississippi Valley State University"/>
    <m/>
    <n v="176044"/>
    <x v="3"/>
    <n v="51043"/>
    <n v="47617.7"/>
    <n v="41513"/>
    <n v="33847"/>
    <n v="270"/>
    <n v="146.69999999999999"/>
    <n v="8366"/>
    <m/>
    <m/>
    <n v="12796"/>
    <m/>
    <m/>
    <n v="894"/>
    <n v="828"/>
    <n v="5771"/>
    <n v="4978"/>
    <n v="2636"/>
    <n v="1690"/>
    <n v="0"/>
    <n v="0"/>
    <n v="3054"/>
    <m/>
    <m/>
    <n v="3237"/>
    <m/>
    <m/>
    <n v="81"/>
    <n v="51"/>
  </r>
  <r>
    <x v="8"/>
    <s v="Mississippi University for Women"/>
    <s v="Reclassified: Met the criteria for Four-Year 4 in 2017-18, 2018-19, and 2019-20."/>
    <n v="176035"/>
    <x v="3"/>
    <n v="70436"/>
    <n v="71868"/>
    <n v="33297"/>
    <n v="31594"/>
    <n v="168"/>
    <n v="86"/>
    <n v="36971"/>
    <m/>
    <m/>
    <n v="40188"/>
    <m/>
    <m/>
    <m/>
    <m/>
    <n v="4376"/>
    <n v="4550"/>
    <n v="2484"/>
    <n v="2435"/>
    <n v="192"/>
    <n v="0"/>
    <n v="1700"/>
    <m/>
    <m/>
    <n v="2115"/>
    <m/>
    <m/>
    <m/>
    <m/>
  </r>
  <r>
    <x v="8"/>
    <s v="Hinds Community College "/>
    <m/>
    <n v="175786"/>
    <x v="6"/>
    <n v="291212"/>
    <n v="127803"/>
    <n v="208823"/>
    <n v="121326"/>
    <n v="16248"/>
    <n v="6477"/>
    <n v="66141"/>
    <m/>
    <m/>
    <m/>
    <m/>
    <m/>
    <m/>
    <m/>
    <n v="0"/>
    <n v="0"/>
    <m/>
    <m/>
    <m/>
    <m/>
    <m/>
    <m/>
    <m/>
    <m/>
    <m/>
    <m/>
    <m/>
    <m/>
  </r>
  <r>
    <x v="8"/>
    <s v="Holmes Community College "/>
    <m/>
    <n v="175810"/>
    <x v="6"/>
    <n v="159656"/>
    <n v="55181"/>
    <n v="91344"/>
    <n v="51866"/>
    <n v="6092"/>
    <n v="3315"/>
    <n v="62220"/>
    <m/>
    <m/>
    <m/>
    <m/>
    <m/>
    <m/>
    <m/>
    <n v="0"/>
    <n v="0"/>
    <m/>
    <m/>
    <m/>
    <m/>
    <m/>
    <m/>
    <m/>
    <m/>
    <m/>
    <m/>
    <m/>
    <m/>
  </r>
  <r>
    <x v="8"/>
    <s v="Itawamba Community College "/>
    <s v="Reclassified: Met the criteria for Two-Year 2 in 2017-18, 2018-19, and 2019-20."/>
    <n v="175829"/>
    <x v="7"/>
    <n v="139081"/>
    <n v="46521"/>
    <n v="85041"/>
    <n v="43980"/>
    <n v="4532"/>
    <n v="2541"/>
    <n v="49508"/>
    <m/>
    <m/>
    <m/>
    <m/>
    <m/>
    <m/>
    <m/>
    <n v="0"/>
    <n v="0"/>
    <m/>
    <m/>
    <m/>
    <m/>
    <m/>
    <m/>
    <m/>
    <m/>
    <m/>
    <m/>
    <m/>
    <m/>
  </r>
  <r>
    <x v="8"/>
    <s v="Mississippi Gulf Coast Community College "/>
    <m/>
    <n v="176071"/>
    <x v="6"/>
    <n v="232689"/>
    <n v="93053"/>
    <n v="145924"/>
    <n v="82836"/>
    <n v="19835"/>
    <n v="10217"/>
    <n v="66930"/>
    <m/>
    <m/>
    <m/>
    <m/>
    <m/>
    <m/>
    <m/>
    <n v="0"/>
    <n v="0"/>
    <m/>
    <m/>
    <m/>
    <m/>
    <m/>
    <m/>
    <m/>
    <m/>
    <m/>
    <m/>
    <m/>
    <m/>
  </r>
  <r>
    <x v="8"/>
    <s v="Northwest Mississippi Community College "/>
    <m/>
    <n v="176178"/>
    <x v="6"/>
    <n v="186760"/>
    <n v="82976"/>
    <n v="141544"/>
    <n v="82976"/>
    <n v="5204"/>
    <n v="0"/>
    <n v="40012"/>
    <m/>
    <m/>
    <m/>
    <m/>
    <m/>
    <m/>
    <m/>
    <n v="0"/>
    <n v="0"/>
    <m/>
    <m/>
    <m/>
    <m/>
    <m/>
    <m/>
    <m/>
    <m/>
    <m/>
    <m/>
    <m/>
    <m/>
  </r>
  <r>
    <x v="8"/>
    <s v="Copiah-Lincoln Community College "/>
    <m/>
    <n v="175573"/>
    <x v="7"/>
    <n v="79307"/>
    <n v="28916"/>
    <n v="48132"/>
    <n v="26413"/>
    <n v="4137"/>
    <n v="2503"/>
    <n v="27038"/>
    <m/>
    <m/>
    <m/>
    <m/>
    <m/>
    <m/>
    <m/>
    <n v="0"/>
    <n v="0"/>
    <m/>
    <m/>
    <m/>
    <m/>
    <m/>
    <m/>
    <m/>
    <m/>
    <m/>
    <m/>
    <m/>
    <m/>
  </r>
  <r>
    <x v="8"/>
    <s v="East Central Community College "/>
    <m/>
    <n v="175643"/>
    <x v="7"/>
    <n v="70571"/>
    <n v="25276"/>
    <n v="44527"/>
    <n v="22911"/>
    <n v="4672"/>
    <n v="2365"/>
    <n v="21372"/>
    <m/>
    <m/>
    <m/>
    <m/>
    <m/>
    <m/>
    <m/>
    <n v="0"/>
    <n v="0"/>
    <m/>
    <m/>
    <m/>
    <m/>
    <m/>
    <m/>
    <m/>
    <m/>
    <m/>
    <m/>
    <m/>
    <m/>
  </r>
  <r>
    <x v="8"/>
    <s v="East Mississippi Community College "/>
    <m/>
    <n v="175652"/>
    <x v="7"/>
    <n v="105233"/>
    <n v="30501"/>
    <n v="69637"/>
    <n v="29642"/>
    <n v="2101"/>
    <n v="859"/>
    <n v="33495"/>
    <m/>
    <m/>
    <m/>
    <m/>
    <m/>
    <m/>
    <m/>
    <n v="0"/>
    <n v="0"/>
    <m/>
    <m/>
    <m/>
    <m/>
    <m/>
    <m/>
    <m/>
    <m/>
    <m/>
    <m/>
    <m/>
    <m/>
  </r>
  <r>
    <x v="8"/>
    <s v="Jones County Junior College "/>
    <m/>
    <n v="175883"/>
    <x v="7"/>
    <n v="126908"/>
    <n v="56058"/>
    <n v="98377"/>
    <n v="56058"/>
    <n v="0"/>
    <n v="0"/>
    <n v="28531"/>
    <m/>
    <m/>
    <m/>
    <m/>
    <m/>
    <m/>
    <m/>
    <n v="0"/>
    <n v="0"/>
    <m/>
    <m/>
    <m/>
    <m/>
    <m/>
    <m/>
    <m/>
    <m/>
    <m/>
    <m/>
    <m/>
    <m/>
  </r>
  <r>
    <x v="8"/>
    <s v="Meridian Community College "/>
    <m/>
    <n v="175935"/>
    <x v="7"/>
    <n v="88357"/>
    <n v="36823"/>
    <n v="67885"/>
    <n v="36199"/>
    <n v="1230"/>
    <n v="624"/>
    <n v="19242"/>
    <m/>
    <m/>
    <m/>
    <m/>
    <m/>
    <m/>
    <m/>
    <n v="0"/>
    <n v="0"/>
    <m/>
    <m/>
    <m/>
    <m/>
    <m/>
    <m/>
    <m/>
    <m/>
    <m/>
    <m/>
    <m/>
    <m/>
  </r>
  <r>
    <x v="8"/>
    <s v="Mississippi Delta Community College "/>
    <m/>
    <n v="176008"/>
    <x v="7"/>
    <n v="63837"/>
    <n v="30695"/>
    <n v="46100"/>
    <n v="27085"/>
    <n v="5814"/>
    <n v="3610"/>
    <n v="11923"/>
    <m/>
    <m/>
    <m/>
    <m/>
    <m/>
    <m/>
    <m/>
    <n v="0"/>
    <n v="0"/>
    <m/>
    <m/>
    <m/>
    <m/>
    <m/>
    <m/>
    <m/>
    <m/>
    <m/>
    <m/>
    <m/>
    <m/>
  </r>
  <r>
    <x v="8"/>
    <s v="Northeast Mississippi Community College "/>
    <m/>
    <n v="176169"/>
    <x v="7"/>
    <n v="91958"/>
    <n v="32824"/>
    <n v="65657"/>
    <n v="32824"/>
    <n v="0"/>
    <n v="0"/>
    <n v="26301"/>
    <m/>
    <m/>
    <m/>
    <m/>
    <m/>
    <m/>
    <m/>
    <n v="0"/>
    <n v="0"/>
    <m/>
    <m/>
    <m/>
    <m/>
    <m/>
    <m/>
    <m/>
    <m/>
    <m/>
    <m/>
    <m/>
    <m/>
  </r>
  <r>
    <x v="8"/>
    <s v="Pearl River Community College "/>
    <m/>
    <n v="176239"/>
    <x v="7"/>
    <n v="126640"/>
    <n v="51085"/>
    <n v="93459"/>
    <n v="49728"/>
    <n v="3402"/>
    <n v="1357"/>
    <n v="29779"/>
    <m/>
    <m/>
    <m/>
    <m/>
    <m/>
    <m/>
    <m/>
    <n v="0"/>
    <n v="0"/>
    <m/>
    <m/>
    <m/>
    <m/>
    <m/>
    <m/>
    <m/>
    <m/>
    <m/>
    <m/>
    <m/>
    <m/>
  </r>
  <r>
    <x v="8"/>
    <s v="Coahoma Community College "/>
    <m/>
    <n v="175519"/>
    <x v="8"/>
    <n v="49683"/>
    <n v="22727"/>
    <n v="38426"/>
    <n v="22428"/>
    <n v="380"/>
    <n v="299"/>
    <n v="10877"/>
    <m/>
    <m/>
    <m/>
    <m/>
    <m/>
    <m/>
    <m/>
    <n v="0"/>
    <n v="0"/>
    <m/>
    <m/>
    <m/>
    <m/>
    <m/>
    <m/>
    <m/>
    <m/>
    <m/>
    <m/>
    <m/>
    <m/>
  </r>
  <r>
    <x v="8"/>
    <s v="Southwest Mississippi Community College"/>
    <m/>
    <n v="176354"/>
    <x v="8"/>
    <n v="55751"/>
    <n v="20980"/>
    <n v="40822"/>
    <n v="20980"/>
    <n v="0"/>
    <n v="0"/>
    <n v="14929"/>
    <m/>
    <m/>
    <m/>
    <m/>
    <m/>
    <m/>
    <m/>
    <n v="0"/>
    <n v="0"/>
    <m/>
    <m/>
    <m/>
    <m/>
    <m/>
    <m/>
    <m/>
    <m/>
    <m/>
    <m/>
    <m/>
    <m/>
  </r>
  <r>
    <x v="9"/>
    <s v="North Carolina State University "/>
    <m/>
    <n v="199193"/>
    <x v="0"/>
    <n v="710963"/>
    <n v="728588"/>
    <n v="588781"/>
    <n v="601662"/>
    <n v="8711"/>
    <n v="11489"/>
    <n v="113471"/>
    <n v="0"/>
    <n v="0"/>
    <n v="115437"/>
    <n v="0"/>
    <n v="0"/>
    <m/>
    <m/>
    <n v="174078"/>
    <n v="174613.5"/>
    <n v="135087"/>
    <n v="133319.5"/>
    <n v="5255"/>
    <n v="4070"/>
    <n v="33736"/>
    <n v="0"/>
    <n v="0"/>
    <n v="37224"/>
    <n v="0"/>
    <n v="0"/>
    <m/>
    <m/>
  </r>
  <r>
    <x v="9"/>
    <s v="University of North Carolina at Chapel Hill "/>
    <m/>
    <n v="199120"/>
    <x v="0"/>
    <n v="542556"/>
    <n v="545593"/>
    <n v="517394"/>
    <n v="520370.5"/>
    <n v="4931"/>
    <n v="5593.5"/>
    <n v="20231"/>
    <n v="0"/>
    <n v="0"/>
    <n v="19629"/>
    <n v="0"/>
    <n v="0"/>
    <m/>
    <m/>
    <n v="203046"/>
    <n v="197901.5"/>
    <n v="174497"/>
    <n v="171655"/>
    <n v="1771"/>
    <n v="819"/>
    <n v="26697"/>
    <n v="81"/>
    <n v="0"/>
    <n v="25391.5"/>
    <n v="36"/>
    <n v="0"/>
    <m/>
    <m/>
  </r>
  <r>
    <x v="9"/>
    <s v="University of North Carolina at Charlotte"/>
    <m/>
    <n v="199139"/>
    <x v="0"/>
    <n v="678454"/>
    <n v="682569"/>
    <n v="583871"/>
    <n v="582198"/>
    <n v="0"/>
    <n v="0"/>
    <n v="94485"/>
    <n v="98"/>
    <n v="0"/>
    <n v="100244"/>
    <n v="127"/>
    <n v="0"/>
    <m/>
    <m/>
    <n v="86480"/>
    <n v="87196"/>
    <n v="68247"/>
    <n v="66366"/>
    <n v="0"/>
    <n v="0"/>
    <n v="18215"/>
    <n v="18"/>
    <n v="0"/>
    <n v="20814"/>
    <n v="16"/>
    <n v="0"/>
    <m/>
    <m/>
  </r>
  <r>
    <x v="9"/>
    <s v="University of North Carolina at Greensboro"/>
    <m/>
    <n v="199148"/>
    <x v="0"/>
    <n v="465845"/>
    <n v="461447"/>
    <n v="343758"/>
    <n v="330797"/>
    <n v="8276"/>
    <n v="3788"/>
    <n v="113739"/>
    <n v="0"/>
    <n v="72"/>
    <n v="126862"/>
    <n v="0"/>
    <n v="0"/>
    <m/>
    <m/>
    <n v="60459"/>
    <n v="61041.5"/>
    <n v="38983"/>
    <n v="37026.5"/>
    <n v="2845"/>
    <n v="3483"/>
    <n v="18604"/>
    <n v="27"/>
    <n v="0"/>
    <n v="20528"/>
    <n v="4"/>
    <n v="0"/>
    <m/>
    <m/>
  </r>
  <r>
    <x v="9"/>
    <s v="East Carolina University "/>
    <m/>
    <n v="198464"/>
    <x v="1"/>
    <n v="654760"/>
    <n v="641242"/>
    <n v="509594"/>
    <n v="486716"/>
    <n v="4632"/>
    <n v="5587"/>
    <n v="140345"/>
    <n v="189"/>
    <n v="0"/>
    <n v="148140"/>
    <n v="799"/>
    <n v="0"/>
    <m/>
    <m/>
    <n v="90063"/>
    <n v="87185"/>
    <n v="33630"/>
    <n v="31719"/>
    <n v="1424"/>
    <n v="1264"/>
    <n v="55003"/>
    <n v="6"/>
    <n v="0"/>
    <n v="54178"/>
    <n v="24"/>
    <n v="0"/>
    <m/>
    <m/>
  </r>
  <r>
    <x v="9"/>
    <s v="Appalachian State University "/>
    <m/>
    <n v="197869"/>
    <x v="2"/>
    <n v="521514"/>
    <n v="527992"/>
    <n v="469391"/>
    <n v="469508"/>
    <n v="2717"/>
    <n v="3194"/>
    <n v="49406"/>
    <n v="0"/>
    <n v="0"/>
    <n v="55290"/>
    <n v="0"/>
    <n v="0"/>
    <m/>
    <m/>
    <n v="33844"/>
    <n v="33977"/>
    <n v="22430"/>
    <n v="21511"/>
    <n v="847"/>
    <n v="1391"/>
    <n v="10567"/>
    <n v="0"/>
    <n v="0"/>
    <n v="11075"/>
    <n v="0"/>
    <n v="0"/>
    <m/>
    <m/>
  </r>
  <r>
    <x v="9"/>
    <s v="North Carolina A&amp;T State University"/>
    <s v="Met the criteria for Four-Year 2 in 2019-20."/>
    <n v="199102"/>
    <x v="2"/>
    <n v="299251"/>
    <n v="310172"/>
    <n v="256702"/>
    <n v="264181"/>
    <n v="474"/>
    <n v="286"/>
    <n v="42075"/>
    <n v="0"/>
    <n v="0"/>
    <n v="45705"/>
    <n v="0"/>
    <n v="0"/>
    <m/>
    <m/>
    <n v="25362"/>
    <n v="25042"/>
    <n v="17462"/>
    <n v="15932"/>
    <n v="718"/>
    <n v="1081"/>
    <n v="7182"/>
    <n v="0"/>
    <n v="0"/>
    <n v="8029"/>
    <n v="0"/>
    <n v="0"/>
    <m/>
    <m/>
  </r>
  <r>
    <x v="9"/>
    <s v="North Carolina Central University "/>
    <m/>
    <n v="199157"/>
    <x v="2"/>
    <n v="184226"/>
    <n v="174006"/>
    <n v="143625"/>
    <n v="131580.5"/>
    <n v="266"/>
    <n v="271.5"/>
    <n v="40335"/>
    <n v="0"/>
    <n v="0"/>
    <n v="42154"/>
    <n v="0"/>
    <n v="0"/>
    <m/>
    <m/>
    <n v="36971"/>
    <n v="38432.5"/>
    <n v="26753"/>
    <n v="25762.5"/>
    <n v="9"/>
    <n v="20"/>
    <n v="10209"/>
    <n v="0"/>
    <n v="0"/>
    <n v="12650"/>
    <n v="0"/>
    <n v="0"/>
    <m/>
    <m/>
  </r>
  <r>
    <x v="9"/>
    <s v="University of North Carolina at Wilmington"/>
    <m/>
    <n v="199218"/>
    <x v="2"/>
    <n v="411212"/>
    <n v="414692.5"/>
    <n v="302455"/>
    <n v="298967.5"/>
    <n v="4323"/>
    <n v="6323"/>
    <n v="104239"/>
    <n v="195"/>
    <n v="0"/>
    <n v="109291"/>
    <n v="111"/>
    <n v="0"/>
    <m/>
    <m/>
    <n v="36035"/>
    <n v="43696.5"/>
    <n v="15519"/>
    <n v="15973.5"/>
    <n v="504"/>
    <n v="843"/>
    <n v="19976"/>
    <n v="36"/>
    <n v="0"/>
    <n v="26880"/>
    <n v="0"/>
    <n v="0"/>
    <m/>
    <m/>
  </r>
  <r>
    <x v="9"/>
    <s v="Western Carolina University "/>
    <m/>
    <n v="200004"/>
    <x v="2"/>
    <n v="273040"/>
    <n v="288700"/>
    <n v="224300"/>
    <n v="229718"/>
    <n v="3285"/>
    <n v="3122"/>
    <n v="45443"/>
    <n v="12"/>
    <n v="0"/>
    <n v="55854"/>
    <n v="6"/>
    <n v="0"/>
    <m/>
    <m/>
    <n v="31370"/>
    <n v="32672"/>
    <n v="10282"/>
    <n v="10779"/>
    <n v="7318"/>
    <n v="7814"/>
    <n v="13770"/>
    <n v="0"/>
    <n v="0"/>
    <n v="14079"/>
    <n v="0"/>
    <n v="0"/>
    <m/>
    <m/>
  </r>
  <r>
    <x v="9"/>
    <s v="Fayetteville State University "/>
    <m/>
    <n v="198543"/>
    <x v="3"/>
    <n v="145496"/>
    <n v="150115"/>
    <n v="88239"/>
    <n v="82139"/>
    <n v="896"/>
    <n v="487"/>
    <n v="56361"/>
    <n v="0"/>
    <n v="0"/>
    <n v="67489"/>
    <n v="0"/>
    <n v="0"/>
    <m/>
    <m/>
    <n v="14498"/>
    <n v="14338"/>
    <n v="4987"/>
    <n v="4773"/>
    <n v="178"/>
    <n v="0"/>
    <n v="9333"/>
    <n v="0"/>
    <n v="0"/>
    <n v="9565"/>
    <n v="0"/>
    <n v="0"/>
    <m/>
    <m/>
  </r>
  <r>
    <x v="9"/>
    <s v="University of North Carolina at Pembroke"/>
    <m/>
    <n v="199281"/>
    <x v="4"/>
    <n v="157525"/>
    <n v="170420"/>
    <n v="108847"/>
    <n v="111719"/>
    <n v="1065"/>
    <n v="1245"/>
    <n v="47294"/>
    <n v="319"/>
    <n v="0"/>
    <n v="57279"/>
    <n v="177"/>
    <n v="0"/>
    <m/>
    <m/>
    <n v="16342"/>
    <n v="22171"/>
    <n v="5668"/>
    <n v="5067"/>
    <n v="765"/>
    <n v="984"/>
    <n v="9909"/>
    <n v="0"/>
    <n v="0"/>
    <n v="16087"/>
    <n v="33"/>
    <n v="0"/>
    <m/>
    <m/>
  </r>
  <r>
    <x v="9"/>
    <s v="Winston-Salem State University "/>
    <m/>
    <n v="199999"/>
    <x v="4"/>
    <n v="134963"/>
    <n v="132430"/>
    <n v="106798"/>
    <n v="101340"/>
    <n v="14"/>
    <n v="6"/>
    <n v="17248"/>
    <n v="0"/>
    <n v="10903"/>
    <n v="22317"/>
    <n v="0"/>
    <n v="8767"/>
    <m/>
    <m/>
    <n v="10437"/>
    <n v="11013"/>
    <n v="6228"/>
    <n v="6336"/>
    <n v="84"/>
    <n v="87"/>
    <n v="2461"/>
    <n v="0"/>
    <n v="1664"/>
    <n v="3106"/>
    <n v="0"/>
    <n v="1484"/>
    <m/>
    <m/>
  </r>
  <r>
    <x v="9"/>
    <s v="Elizabeth City State University "/>
    <m/>
    <n v="198507"/>
    <x v="5"/>
    <n v="41216"/>
    <n v="46357"/>
    <n v="34062"/>
    <n v="36646"/>
    <n v="100"/>
    <n v="172"/>
    <n v="6877"/>
    <n v="177"/>
    <n v="0"/>
    <n v="9401"/>
    <n v="138"/>
    <n v="0"/>
    <m/>
    <m/>
    <n v="653"/>
    <n v="1228"/>
    <n v="509"/>
    <n v="399"/>
    <n v="0"/>
    <n v="0"/>
    <n v="144"/>
    <n v="0"/>
    <n v="0"/>
    <n v="829"/>
    <n v="0"/>
    <n v="0"/>
    <m/>
    <m/>
  </r>
  <r>
    <x v="9"/>
    <s v="University of North Carolina at Asheville"/>
    <m/>
    <n v="199111"/>
    <x v="5"/>
    <n v="102105"/>
    <n v="98978"/>
    <n v="98279"/>
    <n v="94924"/>
    <n v="402"/>
    <n v="773"/>
    <n v="884"/>
    <n v="2540"/>
    <n v="0"/>
    <n v="1050"/>
    <n v="2231"/>
    <n v="0"/>
    <m/>
    <m/>
    <n v="229"/>
    <n v="213"/>
    <n v="229"/>
    <n v="213"/>
    <n v="0"/>
    <n v="0"/>
    <n v="0"/>
    <n v="0"/>
    <n v="0"/>
    <n v="0"/>
    <n v="0"/>
    <n v="0"/>
    <m/>
    <m/>
  </r>
  <r>
    <x v="9"/>
    <s v="University of North Carolina School of the Arts"/>
    <m/>
    <n v="199184"/>
    <x v="11"/>
    <n v="27802"/>
    <n v="27437"/>
    <n v="26953"/>
    <n v="26729"/>
    <n v="0"/>
    <n v="0"/>
    <n v="849"/>
    <n v="0"/>
    <n v="0"/>
    <n v="708"/>
    <n v="0"/>
    <n v="0"/>
    <m/>
    <m/>
    <n v="3726"/>
    <n v="3822"/>
    <n v="3726"/>
    <n v="3810"/>
    <n v="0"/>
    <n v="0"/>
    <n v="0"/>
    <n v="0"/>
    <n v="0"/>
    <n v="12"/>
    <n v="0"/>
    <n v="0"/>
    <m/>
    <m/>
  </r>
  <r>
    <x v="9"/>
    <s v="Asheville-Buncombe Technical Community College"/>
    <m/>
    <n v="197887"/>
    <x v="6"/>
    <n v="134652"/>
    <n v="130252"/>
    <n v="77613"/>
    <n v="71398"/>
    <n v="9482"/>
    <n v="11798"/>
    <n v="45949"/>
    <n v="1608"/>
    <n v="0"/>
    <n v="46950"/>
    <n v="106"/>
    <n v="0"/>
    <m/>
    <m/>
    <n v="0"/>
    <n v="0"/>
    <m/>
    <m/>
    <m/>
    <m/>
    <m/>
    <m/>
    <m/>
    <m/>
    <m/>
    <m/>
    <m/>
    <m/>
  </r>
  <r>
    <x v="9"/>
    <s v="Cape Fear Community College"/>
    <m/>
    <n v="198154"/>
    <x v="6"/>
    <n v="180547"/>
    <n v="180199"/>
    <n v="99943"/>
    <n v="109834"/>
    <n v="402"/>
    <n v="1058"/>
    <n v="80202"/>
    <n v="0"/>
    <n v="0"/>
    <n v="69307"/>
    <n v="0"/>
    <n v="0"/>
    <m/>
    <m/>
    <n v="0"/>
    <n v="0"/>
    <m/>
    <m/>
    <m/>
    <m/>
    <m/>
    <m/>
    <m/>
    <m/>
    <m/>
    <m/>
    <m/>
    <m/>
  </r>
  <r>
    <x v="9"/>
    <s v="Central Piedmont Community College "/>
    <m/>
    <n v="198260"/>
    <x v="6"/>
    <n v="398707"/>
    <n v="394333.5"/>
    <n v="231467"/>
    <n v="233449.5"/>
    <n v="12609"/>
    <n v="8849"/>
    <n v="154631"/>
    <n v="0"/>
    <n v="0"/>
    <n v="152035"/>
    <n v="0"/>
    <n v="0"/>
    <m/>
    <m/>
    <n v="0"/>
    <n v="0"/>
    <m/>
    <m/>
    <m/>
    <m/>
    <m/>
    <m/>
    <m/>
    <m/>
    <m/>
    <m/>
    <m/>
    <m/>
  </r>
  <r>
    <x v="9"/>
    <s v="Fayetteville Technical Community College"/>
    <m/>
    <n v="198534"/>
    <x v="6"/>
    <n v="246044"/>
    <n v="253004"/>
    <n v="98321"/>
    <n v="104447"/>
    <n v="2346"/>
    <n v="0"/>
    <n v="145332"/>
    <n v="45"/>
    <n v="0"/>
    <n v="148557"/>
    <n v="0"/>
    <n v="0"/>
    <m/>
    <m/>
    <n v="0"/>
    <n v="0"/>
    <m/>
    <m/>
    <m/>
    <m/>
    <m/>
    <m/>
    <m/>
    <m/>
    <m/>
    <m/>
    <m/>
    <m/>
  </r>
  <r>
    <x v="9"/>
    <s v="Forsyth Technical Community College"/>
    <m/>
    <n v="198552"/>
    <x v="6"/>
    <n v="162956"/>
    <n v="163779"/>
    <n v="96388"/>
    <n v="91103"/>
    <n v="6008"/>
    <n v="6274"/>
    <n v="60226"/>
    <n v="334"/>
    <n v="0"/>
    <n v="66187"/>
    <n v="215"/>
    <n v="0"/>
    <m/>
    <m/>
    <n v="0"/>
    <n v="0"/>
    <m/>
    <m/>
    <m/>
    <m/>
    <m/>
    <m/>
    <m/>
    <m/>
    <m/>
    <m/>
    <m/>
    <m/>
  </r>
  <r>
    <x v="9"/>
    <s v="Guilford Technical Community College"/>
    <m/>
    <n v="198622"/>
    <x v="6"/>
    <n v="215073"/>
    <n v="223250"/>
    <n v="131697"/>
    <n v="138834"/>
    <n v="4396"/>
    <n v="3857"/>
    <n v="78980"/>
    <n v="0"/>
    <n v="0"/>
    <n v="80559"/>
    <n v="0"/>
    <n v="0"/>
    <m/>
    <m/>
    <n v="0"/>
    <n v="0"/>
    <m/>
    <m/>
    <m/>
    <m/>
    <m/>
    <m/>
    <m/>
    <m/>
    <m/>
    <m/>
    <m/>
    <m/>
  </r>
  <r>
    <x v="9"/>
    <s v="Pitt Community College"/>
    <m/>
    <n v="199333"/>
    <x v="6"/>
    <n v="175132"/>
    <n v="176993"/>
    <n v="68556"/>
    <n v="69851"/>
    <n v="11917"/>
    <n v="12025"/>
    <n v="94515"/>
    <n v="144"/>
    <n v="0"/>
    <n v="94982"/>
    <n v="135"/>
    <n v="0"/>
    <m/>
    <m/>
    <n v="0"/>
    <n v="0"/>
    <m/>
    <m/>
    <m/>
    <m/>
    <m/>
    <m/>
    <m/>
    <m/>
    <m/>
    <m/>
    <m/>
    <m/>
  </r>
  <r>
    <x v="9"/>
    <s v="Rowan-Cabarrus Community College"/>
    <m/>
    <n v="199494"/>
    <x v="6"/>
    <n v="121306"/>
    <n v="127826"/>
    <n v="51264"/>
    <n v="53927"/>
    <n v="7184"/>
    <n v="8939"/>
    <n v="62858"/>
    <n v="0"/>
    <n v="0"/>
    <n v="64960"/>
    <n v="0"/>
    <n v="0"/>
    <m/>
    <m/>
    <n v="0"/>
    <n v="0"/>
    <m/>
    <m/>
    <m/>
    <m/>
    <m/>
    <m/>
    <m/>
    <m/>
    <m/>
    <m/>
    <m/>
    <m/>
  </r>
  <r>
    <x v="9"/>
    <s v="Wake Technical Community College"/>
    <m/>
    <n v="199856"/>
    <x v="6"/>
    <n v="450324"/>
    <n v="451813"/>
    <n v="247792"/>
    <n v="248494"/>
    <n v="4391"/>
    <n v="5393"/>
    <n v="198141"/>
    <n v="0"/>
    <n v="0"/>
    <n v="197926"/>
    <n v="0"/>
    <n v="0"/>
    <m/>
    <m/>
    <n v="0"/>
    <n v="0"/>
    <m/>
    <m/>
    <m/>
    <m/>
    <m/>
    <m/>
    <m/>
    <m/>
    <m/>
    <m/>
    <m/>
    <m/>
  </r>
  <r>
    <x v="9"/>
    <s v="Alamance Community College"/>
    <m/>
    <n v="199786"/>
    <x v="7"/>
    <n v="85227"/>
    <n v="85399.5"/>
    <n v="49639"/>
    <n v="48328.5"/>
    <n v="4592"/>
    <n v="4868"/>
    <n v="30996"/>
    <n v="0"/>
    <n v="0"/>
    <n v="32203"/>
    <n v="0"/>
    <n v="0"/>
    <m/>
    <m/>
    <n v="0"/>
    <n v="0"/>
    <m/>
    <m/>
    <m/>
    <m/>
    <m/>
    <m/>
    <m/>
    <m/>
    <m/>
    <m/>
    <m/>
    <m/>
  </r>
  <r>
    <x v="9"/>
    <s v="Caldwell Community College &amp; Technical Institute"/>
    <m/>
    <n v="198118"/>
    <x v="7"/>
    <n v="68976"/>
    <n v="73103"/>
    <n v="26268"/>
    <n v="39452"/>
    <n v="3371"/>
    <n v="4089"/>
    <n v="34582"/>
    <n v="4755"/>
    <n v="0"/>
    <n v="27325"/>
    <n v="2237"/>
    <n v="0"/>
    <m/>
    <m/>
    <n v="0"/>
    <n v="0"/>
    <m/>
    <m/>
    <m/>
    <m/>
    <m/>
    <m/>
    <m/>
    <m/>
    <m/>
    <m/>
    <m/>
    <m/>
  </r>
  <r>
    <x v="9"/>
    <s v="Catawba Valley Community College"/>
    <m/>
    <n v="198233"/>
    <x v="7"/>
    <n v="93701"/>
    <n v="95883"/>
    <n v="37918"/>
    <n v="46866"/>
    <n v="2306"/>
    <n v="5585"/>
    <n v="53477"/>
    <n v="0"/>
    <n v="0"/>
    <n v="43432"/>
    <n v="0"/>
    <n v="0"/>
    <m/>
    <m/>
    <n v="0"/>
    <n v="0"/>
    <m/>
    <m/>
    <m/>
    <m/>
    <m/>
    <m/>
    <m/>
    <m/>
    <m/>
    <m/>
    <m/>
    <m/>
  </r>
  <r>
    <x v="9"/>
    <s v="Central Carolina Commuity College"/>
    <m/>
    <n v="198251"/>
    <x v="7"/>
    <n v="97555"/>
    <n v="106062"/>
    <n v="44438"/>
    <n v="48987"/>
    <n v="7140"/>
    <n v="6291"/>
    <n v="45977"/>
    <n v="0"/>
    <n v="0"/>
    <n v="50245"/>
    <n v="539"/>
    <n v="0"/>
    <m/>
    <m/>
    <n v="0"/>
    <n v="0"/>
    <m/>
    <m/>
    <m/>
    <m/>
    <m/>
    <m/>
    <m/>
    <m/>
    <m/>
    <m/>
    <m/>
    <m/>
  </r>
  <r>
    <x v="9"/>
    <s v="Cleveland Community College"/>
    <m/>
    <n v="198321"/>
    <x v="7"/>
    <n v="53584"/>
    <n v="52901"/>
    <n v="17848"/>
    <n v="16727"/>
    <n v="7047"/>
    <n v="7442"/>
    <n v="28590"/>
    <n v="99"/>
    <n v="0"/>
    <n v="28717"/>
    <n v="15"/>
    <n v="0"/>
    <m/>
    <m/>
    <n v="0"/>
    <n v="0"/>
    <m/>
    <m/>
    <m/>
    <m/>
    <m/>
    <m/>
    <m/>
    <m/>
    <m/>
    <m/>
    <m/>
    <m/>
  </r>
  <r>
    <x v="9"/>
    <s v="Coastal Carolina Community College "/>
    <m/>
    <n v="198330"/>
    <x v="7"/>
    <n v="88909"/>
    <n v="89584"/>
    <n v="56697"/>
    <n v="57191"/>
    <n v="4092"/>
    <n v="5381"/>
    <n v="28120"/>
    <n v="0"/>
    <n v="0"/>
    <n v="27012"/>
    <n v="0"/>
    <n v="0"/>
    <m/>
    <m/>
    <n v="0"/>
    <n v="0"/>
    <m/>
    <m/>
    <m/>
    <m/>
    <m/>
    <m/>
    <m/>
    <m/>
    <m/>
    <m/>
    <m/>
    <m/>
  </r>
  <r>
    <x v="9"/>
    <s v="Craven Community College "/>
    <m/>
    <n v="198367"/>
    <x v="7"/>
    <n v="61332"/>
    <n v="59283"/>
    <n v="27923"/>
    <n v="27933"/>
    <n v="801"/>
    <n v="1580"/>
    <n v="32608"/>
    <n v="0"/>
    <n v="0"/>
    <n v="29770"/>
    <n v="0"/>
    <n v="0"/>
    <m/>
    <m/>
    <n v="0"/>
    <n v="0"/>
    <m/>
    <m/>
    <m/>
    <m/>
    <m/>
    <m/>
    <m/>
    <m/>
    <m/>
    <m/>
    <m/>
    <m/>
  </r>
  <r>
    <x v="9"/>
    <s v="Davidson County Community College "/>
    <m/>
    <n v="198376"/>
    <x v="7"/>
    <n v="72728"/>
    <n v="73191"/>
    <n v="25351"/>
    <n v="32904"/>
    <n v="708"/>
    <n v="841"/>
    <n v="46300"/>
    <n v="369"/>
    <n v="0"/>
    <n v="39446"/>
    <n v="0"/>
    <n v="0"/>
    <m/>
    <m/>
    <n v="0"/>
    <n v="0"/>
    <m/>
    <m/>
    <m/>
    <m/>
    <m/>
    <m/>
    <m/>
    <m/>
    <m/>
    <m/>
    <m/>
    <m/>
  </r>
  <r>
    <x v="9"/>
    <s v="Durham Technical Community College"/>
    <m/>
    <n v="198455"/>
    <x v="7"/>
    <n v="100705"/>
    <n v="104211"/>
    <n v="61161"/>
    <n v="64146"/>
    <n v="1147"/>
    <n v="3161"/>
    <n v="38397"/>
    <n v="0"/>
    <n v="0"/>
    <n v="36904"/>
    <n v="0"/>
    <n v="0"/>
    <m/>
    <m/>
    <n v="0"/>
    <n v="0"/>
    <m/>
    <m/>
    <m/>
    <m/>
    <m/>
    <m/>
    <m/>
    <m/>
    <m/>
    <m/>
    <m/>
    <m/>
  </r>
  <r>
    <x v="9"/>
    <s v="Gaston College "/>
    <m/>
    <n v="198570"/>
    <x v="7"/>
    <n v="106557"/>
    <n v="106395.5"/>
    <n v="50349"/>
    <n v="47557"/>
    <n v="2051"/>
    <n v="1965"/>
    <n v="53902"/>
    <n v="255"/>
    <n v="0"/>
    <n v="56627.5"/>
    <n v="246"/>
    <n v="0"/>
    <m/>
    <m/>
    <n v="0"/>
    <n v="0"/>
    <m/>
    <m/>
    <m/>
    <m/>
    <m/>
    <m/>
    <m/>
    <m/>
    <m/>
    <m/>
    <m/>
    <m/>
  </r>
  <r>
    <x v="9"/>
    <s v="Johnston Community College"/>
    <m/>
    <n v="198774"/>
    <x v="7"/>
    <n v="80117"/>
    <n v="80812"/>
    <n v="37941"/>
    <n v="37592"/>
    <n v="4097"/>
    <n v="5051"/>
    <n v="37900"/>
    <n v="179"/>
    <n v="0"/>
    <n v="38148"/>
    <n v="21"/>
    <n v="0"/>
    <m/>
    <m/>
    <n v="0"/>
    <n v="0"/>
    <m/>
    <m/>
    <m/>
    <m/>
    <m/>
    <m/>
    <m/>
    <m/>
    <m/>
    <m/>
    <m/>
    <m/>
  </r>
  <r>
    <x v="9"/>
    <s v="Lenoir Community College "/>
    <m/>
    <n v="198817"/>
    <x v="7"/>
    <n v="54499"/>
    <n v="53415"/>
    <n v="19989"/>
    <n v="19059"/>
    <n v="3256"/>
    <n v="2691"/>
    <n v="31115"/>
    <n v="139"/>
    <n v="0"/>
    <n v="31587"/>
    <n v="78"/>
    <n v="0"/>
    <m/>
    <m/>
    <n v="0"/>
    <n v="0"/>
    <m/>
    <m/>
    <m/>
    <m/>
    <m/>
    <m/>
    <m/>
    <m/>
    <m/>
    <m/>
    <m/>
    <m/>
  </r>
  <r>
    <x v="9"/>
    <s v="Mitchell Community College "/>
    <m/>
    <n v="198987"/>
    <x v="7"/>
    <n v="57998"/>
    <n v="57483"/>
    <n v="21028"/>
    <n v="26128"/>
    <n v="2352"/>
    <n v="3596"/>
    <n v="34618"/>
    <n v="0"/>
    <n v="0"/>
    <n v="27759"/>
    <n v="0"/>
    <n v="0"/>
    <m/>
    <m/>
    <n v="0"/>
    <n v="0"/>
    <m/>
    <m/>
    <m/>
    <m/>
    <m/>
    <m/>
    <m/>
    <m/>
    <m/>
    <m/>
    <m/>
    <m/>
  </r>
  <r>
    <x v="9"/>
    <s v="Nash Community College"/>
    <m/>
    <n v="199087"/>
    <x v="7"/>
    <n v="60358"/>
    <n v="61348"/>
    <n v="24714"/>
    <n v="28553"/>
    <n v="3160"/>
    <n v="3326"/>
    <n v="32484"/>
    <n v="0"/>
    <n v="0"/>
    <n v="29469"/>
    <n v="0"/>
    <n v="0"/>
    <m/>
    <m/>
    <n v="0"/>
    <n v="0"/>
    <m/>
    <m/>
    <m/>
    <m/>
    <m/>
    <m/>
    <m/>
    <m/>
    <m/>
    <m/>
    <m/>
    <m/>
  </r>
  <r>
    <x v="9"/>
    <s v="Randolph Community College"/>
    <m/>
    <n v="199421"/>
    <x v="7"/>
    <n v="53994"/>
    <n v="53952"/>
    <n v="24208"/>
    <n v="27275"/>
    <n v="1548"/>
    <n v="1967"/>
    <n v="28055"/>
    <n v="183"/>
    <n v="0"/>
    <n v="24665"/>
    <n v="45"/>
    <n v="0"/>
    <m/>
    <m/>
    <n v="0"/>
    <n v="0"/>
    <m/>
    <m/>
    <m/>
    <m/>
    <m/>
    <m/>
    <m/>
    <m/>
    <m/>
    <m/>
    <m/>
    <m/>
  </r>
  <r>
    <x v="9"/>
    <s v="Richmond Community College"/>
    <m/>
    <n v="199449"/>
    <x v="7"/>
    <n v="51665"/>
    <n v="52823"/>
    <n v="18350"/>
    <n v="27857"/>
    <n v="1883"/>
    <n v="1381"/>
    <n v="31432"/>
    <n v="0"/>
    <n v="0"/>
    <n v="23585"/>
    <n v="0"/>
    <n v="0"/>
    <m/>
    <m/>
    <n v="0"/>
    <n v="0"/>
    <m/>
    <m/>
    <m/>
    <m/>
    <m/>
    <m/>
    <m/>
    <m/>
    <m/>
    <m/>
    <m/>
    <m/>
  </r>
  <r>
    <x v="9"/>
    <s v="Sandhills Community College "/>
    <m/>
    <n v="199634"/>
    <x v="7"/>
    <n v="82556"/>
    <n v="82195"/>
    <n v="34985"/>
    <n v="47085"/>
    <n v="2446"/>
    <n v="2633"/>
    <n v="45125"/>
    <n v="0"/>
    <n v="0"/>
    <n v="32477"/>
    <n v="0"/>
    <n v="0"/>
    <m/>
    <m/>
    <n v="0"/>
    <n v="0"/>
    <m/>
    <m/>
    <m/>
    <m/>
    <m/>
    <m/>
    <m/>
    <m/>
    <m/>
    <m/>
    <m/>
    <m/>
  </r>
  <r>
    <x v="9"/>
    <s v="South Piedmont Community College"/>
    <m/>
    <n v="197850"/>
    <x v="7"/>
    <n v="46574"/>
    <n v="50230"/>
    <n v="14701"/>
    <n v="19542"/>
    <n v="1334"/>
    <n v="2433"/>
    <n v="30539"/>
    <n v="0"/>
    <n v="0"/>
    <n v="28255"/>
    <n v="0"/>
    <n v="0"/>
    <m/>
    <m/>
    <n v="0"/>
    <n v="0"/>
    <m/>
    <m/>
    <m/>
    <m/>
    <m/>
    <m/>
    <m/>
    <m/>
    <m/>
    <m/>
    <m/>
    <m/>
  </r>
  <r>
    <x v="9"/>
    <s v="Stanly Community College"/>
    <m/>
    <n v="199740"/>
    <x v="7"/>
    <n v="50354"/>
    <n v="50709"/>
    <n v="11263"/>
    <n v="12009"/>
    <n v="3657"/>
    <n v="2831"/>
    <n v="35434"/>
    <n v="0"/>
    <n v="0"/>
    <n v="35869"/>
    <n v="0"/>
    <n v="0"/>
    <m/>
    <m/>
    <n v="0"/>
    <n v="0"/>
    <m/>
    <m/>
    <m/>
    <m/>
    <m/>
    <m/>
    <m/>
    <m/>
    <m/>
    <m/>
    <m/>
    <m/>
  </r>
  <r>
    <x v="9"/>
    <s v="Surry Community College "/>
    <m/>
    <n v="199768"/>
    <x v="7"/>
    <n v="60747"/>
    <n v="63103"/>
    <n v="34830"/>
    <n v="38276"/>
    <n v="608"/>
    <n v="1580"/>
    <n v="24737"/>
    <n v="572"/>
    <n v="0"/>
    <n v="23175"/>
    <n v="72"/>
    <n v="0"/>
    <m/>
    <m/>
    <n v="0"/>
    <n v="0"/>
    <m/>
    <m/>
    <m/>
    <m/>
    <m/>
    <m/>
    <m/>
    <m/>
    <m/>
    <m/>
    <m/>
    <m/>
  </r>
  <r>
    <x v="9"/>
    <s v="Vance-Granville Community College "/>
    <m/>
    <n v="199838"/>
    <x v="7"/>
    <n v="55711"/>
    <n v="56360"/>
    <n v="24474"/>
    <n v="24032"/>
    <n v="1260"/>
    <n v="1102"/>
    <n v="29364"/>
    <n v="613"/>
    <n v="0"/>
    <n v="31076"/>
    <n v="150"/>
    <n v="0"/>
    <m/>
    <m/>
    <n v="0"/>
    <n v="0"/>
    <m/>
    <m/>
    <m/>
    <m/>
    <m/>
    <m/>
    <m/>
    <m/>
    <m/>
    <m/>
    <m/>
    <m/>
  </r>
  <r>
    <x v="9"/>
    <s v="Wayne Community College"/>
    <m/>
    <n v="199892"/>
    <x v="7"/>
    <n v="71828"/>
    <n v="70678"/>
    <n v="31679"/>
    <n v="33813"/>
    <n v="360"/>
    <n v="330"/>
    <n v="39789"/>
    <n v="0"/>
    <n v="0"/>
    <n v="36535"/>
    <n v="0"/>
    <n v="0"/>
    <m/>
    <m/>
    <n v="0"/>
    <n v="0"/>
    <m/>
    <m/>
    <m/>
    <m/>
    <m/>
    <m/>
    <m/>
    <m/>
    <m/>
    <m/>
    <m/>
    <m/>
  </r>
  <r>
    <x v="9"/>
    <s v="Wilkes Community College "/>
    <m/>
    <n v="199926"/>
    <x v="7"/>
    <n v="55086"/>
    <n v="53428"/>
    <n v="30404"/>
    <n v="27215"/>
    <n v="5742"/>
    <n v="7481"/>
    <n v="18700"/>
    <n v="240"/>
    <n v="0"/>
    <n v="18717"/>
    <n v="15"/>
    <n v="0"/>
    <m/>
    <m/>
    <n v="0"/>
    <n v="0"/>
    <m/>
    <m/>
    <m/>
    <m/>
    <m/>
    <m/>
    <m/>
    <m/>
    <m/>
    <m/>
    <m/>
    <m/>
  </r>
  <r>
    <x v="9"/>
    <s v="Beaufort County Community College "/>
    <m/>
    <n v="197966"/>
    <x v="8"/>
    <n v="28199"/>
    <n v="30983"/>
    <n v="9067"/>
    <n v="11974"/>
    <n v="1318"/>
    <n v="1639"/>
    <n v="17310"/>
    <n v="0"/>
    <n v="504"/>
    <n v="16963"/>
    <n v="407"/>
    <n v="0"/>
    <m/>
    <m/>
    <n v="0"/>
    <n v="0"/>
    <m/>
    <m/>
    <m/>
    <m/>
    <m/>
    <m/>
    <m/>
    <m/>
    <m/>
    <m/>
    <m/>
    <m/>
  </r>
  <r>
    <x v="9"/>
    <s v="Bladen Community College"/>
    <m/>
    <n v="198011"/>
    <x v="8"/>
    <n v="26414"/>
    <n v="27615"/>
    <n v="9902"/>
    <n v="11008"/>
    <n v="440"/>
    <n v="772"/>
    <n v="14724"/>
    <n v="1348"/>
    <n v="0"/>
    <n v="15392"/>
    <n v="443"/>
    <n v="0"/>
    <m/>
    <m/>
    <n v="0"/>
    <n v="0"/>
    <m/>
    <m/>
    <m/>
    <m/>
    <m/>
    <m/>
    <m/>
    <m/>
    <m/>
    <m/>
    <m/>
    <m/>
  </r>
  <r>
    <x v="9"/>
    <s v="Blue Ridge Community College"/>
    <m/>
    <n v="198039"/>
    <x v="8"/>
    <n v="40650"/>
    <n v="42337"/>
    <n v="15145"/>
    <n v="19834"/>
    <n v="2474"/>
    <n v="2590"/>
    <n v="23031"/>
    <n v="0"/>
    <n v="0"/>
    <n v="18509"/>
    <n v="1404"/>
    <n v="0"/>
    <m/>
    <m/>
    <n v="0"/>
    <n v="0"/>
    <m/>
    <m/>
    <m/>
    <m/>
    <m/>
    <m/>
    <m/>
    <m/>
    <m/>
    <m/>
    <m/>
    <m/>
  </r>
  <r>
    <x v="9"/>
    <s v="Brunswick Community College"/>
    <m/>
    <n v="198084"/>
    <x v="8"/>
    <n v="30000"/>
    <n v="32579"/>
    <n v="16140"/>
    <n v="16749"/>
    <n v="93"/>
    <n v="249"/>
    <n v="13767"/>
    <n v="0"/>
    <n v="0"/>
    <n v="15572"/>
    <n v="9"/>
    <n v="0"/>
    <m/>
    <m/>
    <n v="0"/>
    <n v="0"/>
    <m/>
    <m/>
    <m/>
    <m/>
    <m/>
    <m/>
    <m/>
    <m/>
    <m/>
    <m/>
    <m/>
    <m/>
  </r>
  <r>
    <x v="9"/>
    <s v="Carteret Community College"/>
    <m/>
    <n v="198206"/>
    <x v="8"/>
    <n v="30359"/>
    <n v="31688"/>
    <n v="14502"/>
    <n v="15531"/>
    <n v="1254"/>
    <n v="1075"/>
    <n v="14519"/>
    <n v="84"/>
    <n v="0"/>
    <n v="15082"/>
    <n v="0"/>
    <n v="0"/>
    <m/>
    <m/>
    <n v="0"/>
    <n v="0"/>
    <m/>
    <m/>
    <m/>
    <m/>
    <m/>
    <m/>
    <m/>
    <m/>
    <m/>
    <m/>
    <m/>
    <m/>
  </r>
  <r>
    <x v="9"/>
    <s v="College of the Albemarle"/>
    <s v="Met the criteria for Two-Year 2 in 2019-20."/>
    <n v="197814"/>
    <x v="8"/>
    <n v="50368"/>
    <n v="53321"/>
    <n v="18536"/>
    <n v="18519"/>
    <n v="756"/>
    <n v="4511"/>
    <n v="30621"/>
    <n v="455"/>
    <n v="0"/>
    <n v="30291"/>
    <n v="0"/>
    <n v="0"/>
    <m/>
    <m/>
    <n v="0"/>
    <n v="0"/>
    <m/>
    <m/>
    <m/>
    <m/>
    <m/>
    <m/>
    <m/>
    <m/>
    <m/>
    <m/>
    <m/>
    <m/>
  </r>
  <r>
    <x v="9"/>
    <s v="Edgecombe Community College"/>
    <m/>
    <n v="198491"/>
    <x v="8"/>
    <n v="43800"/>
    <n v="40430"/>
    <n v="15886"/>
    <n v="17043"/>
    <n v="2625"/>
    <n v="2108"/>
    <n v="25289"/>
    <n v="0"/>
    <n v="0"/>
    <n v="21279"/>
    <n v="0"/>
    <n v="0"/>
    <m/>
    <m/>
    <n v="0"/>
    <n v="0"/>
    <m/>
    <m/>
    <m/>
    <m/>
    <m/>
    <m/>
    <m/>
    <m/>
    <m/>
    <m/>
    <m/>
    <m/>
  </r>
  <r>
    <x v="9"/>
    <s v="Halifax Community College "/>
    <m/>
    <n v="198640"/>
    <x v="8"/>
    <n v="19487"/>
    <n v="20721"/>
    <n v="6460"/>
    <n v="7398"/>
    <n v="2176"/>
    <n v="2419"/>
    <n v="10782"/>
    <n v="69"/>
    <n v="0"/>
    <n v="10889"/>
    <n v="15"/>
    <n v="0"/>
    <m/>
    <m/>
    <n v="0"/>
    <n v="0"/>
    <m/>
    <m/>
    <m/>
    <m/>
    <m/>
    <m/>
    <m/>
    <m/>
    <m/>
    <m/>
    <m/>
    <m/>
  </r>
  <r>
    <x v="9"/>
    <s v="Haywood Community College"/>
    <m/>
    <n v="198668"/>
    <x v="8"/>
    <n v="29095"/>
    <n v="32073"/>
    <n v="13924"/>
    <n v="16871"/>
    <n v="1200"/>
    <n v="1005"/>
    <n v="13971"/>
    <n v="0"/>
    <n v="0"/>
    <n v="14197"/>
    <n v="0"/>
    <n v="0"/>
    <m/>
    <m/>
    <n v="0"/>
    <n v="0"/>
    <m/>
    <m/>
    <m/>
    <m/>
    <m/>
    <m/>
    <m/>
    <m/>
    <m/>
    <m/>
    <m/>
    <m/>
  </r>
  <r>
    <x v="9"/>
    <s v="Isothermal Community College "/>
    <m/>
    <n v="198710"/>
    <x v="8"/>
    <n v="42760"/>
    <n v="43635"/>
    <n v="15276"/>
    <n v="14197"/>
    <n v="4313"/>
    <n v="4296"/>
    <n v="23171"/>
    <n v="0"/>
    <n v="0"/>
    <n v="25142"/>
    <n v="0"/>
    <n v="0"/>
    <m/>
    <m/>
    <n v="0"/>
    <n v="0"/>
    <m/>
    <m/>
    <m/>
    <m/>
    <m/>
    <m/>
    <m/>
    <m/>
    <m/>
    <m/>
    <m/>
    <m/>
  </r>
  <r>
    <x v="9"/>
    <s v="James Sprunt Community College"/>
    <m/>
    <n v="198729"/>
    <x v="8"/>
    <n v="24765"/>
    <n v="25516"/>
    <n v="10013"/>
    <n v="10802"/>
    <n v="952"/>
    <n v="277"/>
    <n v="12882"/>
    <n v="918"/>
    <n v="0"/>
    <n v="13931"/>
    <n v="506"/>
    <n v="0"/>
    <m/>
    <m/>
    <n v="0"/>
    <n v="0"/>
    <m/>
    <m/>
    <m/>
    <m/>
    <m/>
    <m/>
    <m/>
    <m/>
    <m/>
    <m/>
    <m/>
    <m/>
  </r>
  <r>
    <x v="9"/>
    <s v="Martin Community College "/>
    <m/>
    <n v="198905"/>
    <x v="8"/>
    <n v="15244.5"/>
    <n v="15682"/>
    <n v="5202.5"/>
    <n v="5404"/>
    <n v="271"/>
    <n v="257"/>
    <n v="9771"/>
    <n v="0"/>
    <n v="0"/>
    <n v="10021"/>
    <n v="0"/>
    <n v="0"/>
    <m/>
    <m/>
    <n v="0"/>
    <n v="0"/>
    <m/>
    <m/>
    <m/>
    <m/>
    <m/>
    <m/>
    <m/>
    <m/>
    <m/>
    <m/>
    <m/>
    <m/>
  </r>
  <r>
    <x v="9"/>
    <s v="Mayland Community College"/>
    <m/>
    <n v="198914"/>
    <x v="8"/>
    <n v="19417"/>
    <n v="19215"/>
    <n v="8361"/>
    <n v="8383"/>
    <n v="3042"/>
    <n v="3033"/>
    <n v="7918"/>
    <n v="0"/>
    <n v="96"/>
    <n v="7799"/>
    <n v="0"/>
    <n v="0"/>
    <m/>
    <m/>
    <n v="0"/>
    <n v="0"/>
    <m/>
    <m/>
    <m/>
    <m/>
    <m/>
    <m/>
    <m/>
    <m/>
    <m/>
    <m/>
    <m/>
    <m/>
  </r>
  <r>
    <x v="9"/>
    <s v="McDowell Technical Community College"/>
    <m/>
    <n v="198923"/>
    <x v="8"/>
    <n v="21100"/>
    <n v="20973"/>
    <n v="11468"/>
    <n v="12338"/>
    <n v="130"/>
    <n v="424"/>
    <n v="9460"/>
    <n v="42"/>
    <n v="0"/>
    <n v="8148"/>
    <n v="63"/>
    <n v="0"/>
    <m/>
    <m/>
    <n v="0"/>
    <n v="0"/>
    <m/>
    <m/>
    <m/>
    <m/>
    <m/>
    <m/>
    <m/>
    <m/>
    <m/>
    <m/>
    <m/>
    <m/>
  </r>
  <r>
    <x v="9"/>
    <s v="Montgomery Community College"/>
    <m/>
    <n v="199023"/>
    <x v="8"/>
    <n v="17699"/>
    <n v="18090"/>
    <n v="7683"/>
    <n v="10885"/>
    <n v="597"/>
    <n v="364"/>
    <n v="9419"/>
    <n v="0"/>
    <n v="0"/>
    <n v="6841"/>
    <n v="0"/>
    <n v="0"/>
    <m/>
    <m/>
    <n v="0"/>
    <n v="0"/>
    <m/>
    <m/>
    <m/>
    <m/>
    <m/>
    <m/>
    <m/>
    <m/>
    <m/>
    <m/>
    <m/>
    <m/>
  </r>
  <r>
    <x v="9"/>
    <s v="Pamlico Community College"/>
    <m/>
    <n v="199263"/>
    <x v="8"/>
    <n v="11567"/>
    <n v="10636"/>
    <n v="965"/>
    <n v="1302"/>
    <n v="4869"/>
    <n v="3551"/>
    <n v="5733"/>
    <n v="0"/>
    <n v="0"/>
    <n v="5783"/>
    <n v="0"/>
    <n v="0"/>
    <m/>
    <m/>
    <n v="0"/>
    <n v="0"/>
    <m/>
    <m/>
    <m/>
    <m/>
    <m/>
    <m/>
    <m/>
    <m/>
    <m/>
    <m/>
    <m/>
    <m/>
  </r>
  <r>
    <x v="9"/>
    <s v="Piedmont Community College"/>
    <m/>
    <n v="199324"/>
    <x v="8"/>
    <n v="20972"/>
    <n v="23736"/>
    <n v="8697"/>
    <n v="9047"/>
    <n v="994"/>
    <n v="903"/>
    <n v="10206"/>
    <n v="1075"/>
    <n v="0"/>
    <n v="13717"/>
    <n v="69"/>
    <n v="0"/>
    <m/>
    <m/>
    <n v="0"/>
    <n v="0"/>
    <m/>
    <m/>
    <m/>
    <m/>
    <m/>
    <m/>
    <m/>
    <m/>
    <m/>
    <m/>
    <m/>
    <m/>
  </r>
  <r>
    <x v="9"/>
    <s v="Roanoke-Chowan Community College"/>
    <m/>
    <n v="199467"/>
    <x v="8"/>
    <n v="14063"/>
    <n v="12583"/>
    <n v="4912"/>
    <n v="4555"/>
    <n v="528"/>
    <n v="358"/>
    <n v="8576"/>
    <n v="47"/>
    <n v="0"/>
    <n v="7670"/>
    <n v="0"/>
    <n v="0"/>
    <m/>
    <m/>
    <n v="0"/>
    <n v="0"/>
    <m/>
    <m/>
    <m/>
    <m/>
    <m/>
    <m/>
    <m/>
    <m/>
    <m/>
    <m/>
    <m/>
    <m/>
  </r>
  <r>
    <x v="9"/>
    <s v="Robeson Community College"/>
    <m/>
    <n v="199476"/>
    <x v="8"/>
    <n v="37570"/>
    <n v="37918"/>
    <n v="20219"/>
    <n v="22357"/>
    <n v="557"/>
    <n v="454"/>
    <n v="16794"/>
    <n v="0"/>
    <n v="0"/>
    <n v="15107"/>
    <n v="0"/>
    <n v="0"/>
    <m/>
    <m/>
    <n v="0"/>
    <n v="0"/>
    <m/>
    <m/>
    <m/>
    <m/>
    <m/>
    <m/>
    <m/>
    <m/>
    <m/>
    <m/>
    <m/>
    <m/>
  </r>
  <r>
    <x v="9"/>
    <s v="Rockingham Community College "/>
    <m/>
    <n v="199485"/>
    <x v="8"/>
    <n v="35128"/>
    <n v="36130"/>
    <n v="22277"/>
    <n v="22600"/>
    <n v="10"/>
    <n v="993"/>
    <n v="12585"/>
    <n v="256"/>
    <n v="0"/>
    <n v="12438"/>
    <n v="99"/>
    <n v="0"/>
    <m/>
    <m/>
    <n v="0"/>
    <n v="0"/>
    <m/>
    <m/>
    <m/>
    <m/>
    <m/>
    <m/>
    <m/>
    <m/>
    <m/>
    <m/>
    <m/>
    <m/>
  </r>
  <r>
    <x v="9"/>
    <s v="Sampson Community College"/>
    <m/>
    <n v="199625"/>
    <x v="8"/>
    <n v="33951"/>
    <n v="36369"/>
    <n v="12828"/>
    <n v="13168"/>
    <n v="76"/>
    <n v="52"/>
    <n v="21047"/>
    <n v="0"/>
    <n v="0"/>
    <n v="23149"/>
    <n v="0"/>
    <n v="0"/>
    <m/>
    <m/>
    <n v="0"/>
    <n v="0"/>
    <m/>
    <m/>
    <m/>
    <m/>
    <m/>
    <m/>
    <m/>
    <m/>
    <m/>
    <m/>
    <m/>
    <m/>
  </r>
  <r>
    <x v="9"/>
    <s v="Southeastern Community College "/>
    <m/>
    <n v="199722"/>
    <x v="8"/>
    <n v="29839"/>
    <n v="31548"/>
    <n v="13132"/>
    <n v="14091"/>
    <n v="564"/>
    <n v="945"/>
    <n v="15972"/>
    <n v="171"/>
    <n v="0"/>
    <n v="16512"/>
    <n v="0"/>
    <n v="0"/>
    <m/>
    <m/>
    <n v="0"/>
    <n v="0"/>
    <m/>
    <m/>
    <m/>
    <m/>
    <m/>
    <m/>
    <m/>
    <m/>
    <m/>
    <m/>
    <m/>
    <m/>
  </r>
  <r>
    <x v="9"/>
    <s v="Southwestern Community College "/>
    <m/>
    <n v="199731"/>
    <x v="8"/>
    <n v="47094"/>
    <n v="46377"/>
    <n v="26916"/>
    <n v="26769"/>
    <n v="1489"/>
    <n v="1461"/>
    <n v="18609"/>
    <n v="80"/>
    <n v="0"/>
    <n v="18147"/>
    <n v="0"/>
    <n v="0"/>
    <m/>
    <m/>
    <n v="0"/>
    <n v="0"/>
    <m/>
    <m/>
    <m/>
    <m/>
    <m/>
    <m/>
    <m/>
    <m/>
    <m/>
    <m/>
    <m/>
    <m/>
  </r>
  <r>
    <x v="9"/>
    <s v="Tri-County Community College "/>
    <m/>
    <n v="199795"/>
    <x v="8"/>
    <n v="21178"/>
    <n v="23090"/>
    <n v="6195"/>
    <n v="5879"/>
    <n v="1369"/>
    <n v="1875"/>
    <n v="13569"/>
    <n v="45"/>
    <n v="0"/>
    <n v="15336"/>
    <n v="0"/>
    <n v="0"/>
    <m/>
    <m/>
    <n v="0"/>
    <n v="0"/>
    <m/>
    <m/>
    <m/>
    <m/>
    <m/>
    <m/>
    <m/>
    <m/>
    <m/>
    <m/>
    <m/>
    <m/>
  </r>
  <r>
    <x v="9"/>
    <s v="Western Piedmont Community College "/>
    <m/>
    <n v="199908"/>
    <x v="8"/>
    <n v="37769"/>
    <n v="40720"/>
    <n v="22497"/>
    <n v="22494"/>
    <n v="1377"/>
    <n v="2735"/>
    <n v="13895"/>
    <n v="0"/>
    <n v="0"/>
    <n v="15491"/>
    <n v="0"/>
    <n v="0"/>
    <m/>
    <m/>
    <n v="0"/>
    <n v="0"/>
    <m/>
    <m/>
    <m/>
    <m/>
    <m/>
    <m/>
    <m/>
    <m/>
    <m/>
    <m/>
    <m/>
    <m/>
  </r>
  <r>
    <x v="9"/>
    <s v="Wilson Community College"/>
    <m/>
    <n v="199953"/>
    <x v="8"/>
    <n v="34679"/>
    <n v="35058.5"/>
    <n v="11687"/>
    <n v="12226.5"/>
    <n v="1073"/>
    <n v="1270"/>
    <n v="21919"/>
    <n v="0"/>
    <n v="0"/>
    <n v="21562"/>
    <n v="0"/>
    <n v="0"/>
    <m/>
    <m/>
    <n v="0"/>
    <n v="0"/>
    <m/>
    <m/>
    <m/>
    <m/>
    <m/>
    <m/>
    <m/>
    <m/>
    <m/>
    <m/>
    <m/>
    <m/>
  </r>
  <r>
    <x v="10"/>
    <s v="Oklahoma State University Main Campus"/>
    <m/>
    <n v="207388"/>
    <x v="0"/>
    <n v="580598"/>
    <n v="580065"/>
    <n v="478704"/>
    <n v="473692"/>
    <n v="5052"/>
    <n v="5007"/>
    <n v="96842"/>
    <n v="0"/>
    <n v="0"/>
    <n v="101366"/>
    <n v="0"/>
    <n v="0"/>
    <n v="0"/>
    <n v="0"/>
    <n v="73570"/>
    <n v="80424"/>
    <n v="55279"/>
    <n v="55643"/>
    <n v="1717"/>
    <n v="1842"/>
    <n v="16574"/>
    <n v="0"/>
    <n v="0"/>
    <n v="22939"/>
    <n v="0"/>
    <n v="0"/>
    <n v="0"/>
    <n v="0"/>
  </r>
  <r>
    <x v="10"/>
    <s v="University of Oklahoma Norman Campus"/>
    <m/>
    <n v="207500"/>
    <x v="0"/>
    <n v="627476"/>
    <n v="630143"/>
    <n v="540677"/>
    <n v="533767"/>
    <n v="9562"/>
    <n v="11620"/>
    <n v="76294"/>
    <n v="195"/>
    <n v="748"/>
    <n v="83696"/>
    <n v="297"/>
    <n v="763"/>
    <n v="0"/>
    <n v="0"/>
    <n v="151150"/>
    <n v="160955"/>
    <n v="108539"/>
    <n v="119775"/>
    <n v="12819"/>
    <n v="12848"/>
    <n v="27819"/>
    <n v="261"/>
    <n v="1712"/>
    <n v="26250"/>
    <n v="357"/>
    <n v="1725"/>
    <n v="0"/>
    <n v="0"/>
  </r>
  <r>
    <x v="10"/>
    <s v="Northeastern State University"/>
    <m/>
    <n v="207263"/>
    <x v="2"/>
    <n v="164589"/>
    <n v="164102"/>
    <n v="101883"/>
    <n v="99194"/>
    <n v="0"/>
    <n v="0"/>
    <n v="60697"/>
    <n v="2009"/>
    <n v="0"/>
    <n v="62727"/>
    <n v="2181"/>
    <n v="0"/>
    <n v="0"/>
    <n v="0"/>
    <n v="21177"/>
    <n v="21954"/>
    <n v="13572"/>
    <n v="13657"/>
    <n v="0"/>
    <n v="0"/>
    <n v="6812"/>
    <n v="793"/>
    <n v="0"/>
    <n v="7352"/>
    <n v="945"/>
    <n v="0"/>
    <n v="0"/>
    <n v="0"/>
  </r>
  <r>
    <x v="10"/>
    <s v="University of Central Oklahoma"/>
    <s v="Met the criteria for Four-Year 4 in 2019-20."/>
    <n v="206941"/>
    <x v="2"/>
    <n v="350254"/>
    <n v="339517"/>
    <n v="274902"/>
    <n v="262783"/>
    <n v="5148"/>
    <n v="2101"/>
    <n v="65180"/>
    <n v="1111"/>
    <n v="3913"/>
    <n v="69933"/>
    <n v="586"/>
    <n v="4114"/>
    <n v="0"/>
    <n v="0"/>
    <n v="23721"/>
    <n v="23155"/>
    <n v="20798"/>
    <n v="19681"/>
    <n v="201"/>
    <n v="120"/>
    <n v="1267"/>
    <n v="21"/>
    <n v="1434"/>
    <n v="1780"/>
    <n v="15"/>
    <n v="1559"/>
    <n v="0"/>
    <n v="0"/>
  </r>
  <r>
    <x v="10"/>
    <s v="Southeastern Oklahoma State University "/>
    <m/>
    <n v="207847"/>
    <x v="3"/>
    <n v="80099"/>
    <n v="78667"/>
    <n v="44034"/>
    <n v="42422"/>
    <n v="731"/>
    <n v="799"/>
    <n v="33751"/>
    <n v="609"/>
    <n v="974"/>
    <n v="33817"/>
    <n v="1113"/>
    <n v="516"/>
    <n v="0"/>
    <n v="0"/>
    <n v="23387"/>
    <n v="26195"/>
    <n v="1810"/>
    <n v="867"/>
    <n v="963"/>
    <n v="879"/>
    <n v="20614"/>
    <n v="0"/>
    <n v="0"/>
    <n v="24449"/>
    <n v="0"/>
    <n v="0"/>
    <n v="0"/>
    <n v="0"/>
  </r>
  <r>
    <x v="10"/>
    <s v="Southwestern Oklahoma State University"/>
    <m/>
    <n v="207865"/>
    <x v="3"/>
    <n v="123129"/>
    <n v="119225"/>
    <n v="90576"/>
    <n v="86685"/>
    <n v="1339"/>
    <n v="1274"/>
    <n v="30409"/>
    <n v="805"/>
    <n v="0"/>
    <n v="30621"/>
    <n v="645"/>
    <n v="0"/>
    <n v="0"/>
    <n v="0"/>
    <n v="14489"/>
    <n v="14615"/>
    <n v="7256"/>
    <n v="7187"/>
    <n v="0"/>
    <n v="0"/>
    <n v="7230"/>
    <n v="3"/>
    <n v="0"/>
    <n v="7428"/>
    <n v="0"/>
    <n v="0"/>
    <n v="0"/>
    <n v="0"/>
  </r>
  <r>
    <x v="10"/>
    <s v="Cameron University "/>
    <m/>
    <n v="206914"/>
    <x v="4"/>
    <n v="97151"/>
    <n v="94000"/>
    <n v="62813"/>
    <n v="59885"/>
    <n v="1491"/>
    <n v="1614"/>
    <n v="23525"/>
    <n v="9322"/>
    <n v="0"/>
    <n v="23796"/>
    <n v="8705"/>
    <n v="0"/>
    <n v="0"/>
    <n v="0"/>
    <n v="5238"/>
    <n v="5076"/>
    <n v="1806"/>
    <n v="1467"/>
    <n v="0"/>
    <n v="0"/>
    <n v="3063"/>
    <n v="369"/>
    <n v="0"/>
    <n v="3117"/>
    <n v="492"/>
    <n v="0"/>
    <n v="0"/>
    <n v="0"/>
  </r>
  <r>
    <x v="10"/>
    <s v="East Central University "/>
    <s v="Met the criteria for Four-Year 4 in 2018-19 and 2019-20."/>
    <n v="207041"/>
    <x v="4"/>
    <n v="81726"/>
    <n v="78851"/>
    <n v="63720"/>
    <n v="60519"/>
    <n v="1496"/>
    <n v="1863"/>
    <n v="13922"/>
    <n v="36"/>
    <n v="2552"/>
    <n v="14274"/>
    <n v="0"/>
    <n v="2195"/>
    <n v="0"/>
    <n v="0"/>
    <n v="10671"/>
    <n v="10226"/>
    <n v="2460"/>
    <n v="3352"/>
    <n v="0"/>
    <n v="36"/>
    <n v="7614"/>
    <n v="18"/>
    <n v="579"/>
    <n v="6276"/>
    <n v="0"/>
    <n v="562"/>
    <n v="0"/>
    <n v="0"/>
  </r>
  <r>
    <x v="10"/>
    <s v="Langston University"/>
    <m/>
    <n v="207209"/>
    <x v="4"/>
    <n v="56567"/>
    <n v="56490"/>
    <n v="49518"/>
    <n v="49232"/>
    <n v="0"/>
    <n v="0"/>
    <n v="7049"/>
    <n v="0"/>
    <n v="0"/>
    <n v="7258"/>
    <n v="0"/>
    <n v="0"/>
    <n v="0"/>
    <n v="0"/>
    <n v="5487"/>
    <n v="5269"/>
    <n v="5294"/>
    <n v="5071"/>
    <n v="0"/>
    <n v="0"/>
    <n v="193"/>
    <n v="0"/>
    <n v="0"/>
    <n v="198"/>
    <n v="0"/>
    <n v="0"/>
    <n v="0"/>
    <n v="0"/>
  </r>
  <r>
    <x v="10"/>
    <s v="Northwestern Oklahoma State University "/>
    <m/>
    <n v="207306"/>
    <x v="4"/>
    <n v="47887"/>
    <n v="47533"/>
    <n v="31859"/>
    <n v="31297"/>
    <n v="18"/>
    <n v="69"/>
    <n v="8719"/>
    <n v="6754"/>
    <n v="537"/>
    <n v="8832"/>
    <n v="6856"/>
    <n v="479"/>
    <n v="0"/>
    <n v="0"/>
    <n v="3180"/>
    <n v="3209"/>
    <n v="940"/>
    <n v="927"/>
    <n v="0"/>
    <n v="22"/>
    <n v="1294"/>
    <n v="640"/>
    <n v="306"/>
    <n v="1352"/>
    <n v="646"/>
    <n v="262"/>
    <n v="0"/>
    <n v="0"/>
  </r>
  <r>
    <x v="10"/>
    <s v="Oklahoma Panhandle State University "/>
    <m/>
    <n v="207351"/>
    <x v="5"/>
    <n v="30993"/>
    <n v="31924"/>
    <n v="22128"/>
    <n v="21490"/>
    <n v="0"/>
    <n v="0"/>
    <n v="8865"/>
    <n v="0"/>
    <n v="0"/>
    <n v="10434"/>
    <n v="0"/>
    <n v="0"/>
    <n v="0"/>
    <n v="0"/>
    <n v="0"/>
    <n v="0"/>
    <n v="0"/>
    <n v="0"/>
    <n v="0"/>
    <n v="0"/>
    <n v="0"/>
    <n v="0"/>
    <n v="0"/>
    <n v="0"/>
    <n v="0"/>
    <n v="0"/>
    <n v="0"/>
    <n v="0"/>
  </r>
  <r>
    <x v="10"/>
    <s v="Rogers State University"/>
    <m/>
    <n v="207661"/>
    <x v="5"/>
    <n v="81920"/>
    <n v="80257"/>
    <n v="54954"/>
    <n v="52829"/>
    <n v="0"/>
    <n v="0"/>
    <n v="25325"/>
    <n v="1641"/>
    <n v="0"/>
    <n v="25850"/>
    <n v="1578"/>
    <n v="0"/>
    <n v="0"/>
    <n v="0"/>
    <n v="459"/>
    <n v="402"/>
    <n v="435"/>
    <n v="378"/>
    <n v="0"/>
    <n v="0"/>
    <n v="24"/>
    <n v="0"/>
    <n v="0"/>
    <n v="24"/>
    <n v="0"/>
    <n v="0"/>
    <n v="0"/>
    <n v="0"/>
  </r>
  <r>
    <x v="10"/>
    <s v="University of Science and Arts of Oklahoma"/>
    <m/>
    <n v="207722"/>
    <x v="5"/>
    <n v="25519"/>
    <n v="24995"/>
    <n v="25486"/>
    <n v="24831"/>
    <n v="33"/>
    <n v="0"/>
    <n v="0"/>
    <n v="0"/>
    <n v="0"/>
    <n v="0"/>
    <n v="155"/>
    <n v="9"/>
    <n v="0"/>
    <n v="0"/>
    <n v="0"/>
    <n v="0"/>
    <m/>
    <m/>
    <m/>
    <m/>
    <m/>
    <m/>
    <m/>
    <m/>
    <m/>
    <m/>
    <m/>
    <m/>
  </r>
  <r>
    <x v="10"/>
    <s v="Oklahoma State University Institute of Technology - Okmulgee"/>
    <m/>
    <n v="207564"/>
    <x v="13"/>
    <n v="71388"/>
    <n v="70146"/>
    <n v="55153"/>
    <n v="53238"/>
    <n v="0"/>
    <n v="0"/>
    <n v="16235"/>
    <n v="0"/>
    <n v="0"/>
    <n v="16908"/>
    <n v="0"/>
    <n v="0"/>
    <n v="0"/>
    <n v="0"/>
    <n v="0"/>
    <n v="0"/>
    <m/>
    <m/>
    <m/>
    <m/>
    <m/>
    <m/>
    <m/>
    <m/>
    <m/>
    <m/>
    <m/>
    <m/>
  </r>
  <r>
    <x v="10"/>
    <s v="Oklahoma State University-Oklahoma City"/>
    <m/>
    <n v="207397"/>
    <x v="13"/>
    <n v="127235"/>
    <n v="124464"/>
    <n v="75490"/>
    <n v="73694"/>
    <n v="3"/>
    <n v="3"/>
    <n v="51742"/>
    <n v="0"/>
    <n v="0"/>
    <n v="50767"/>
    <n v="0"/>
    <n v="0"/>
    <n v="0"/>
    <n v="0"/>
    <n v="0"/>
    <n v="0"/>
    <m/>
    <m/>
    <m/>
    <m/>
    <m/>
    <m/>
    <m/>
    <m/>
    <m/>
    <m/>
    <m/>
    <m/>
  </r>
  <r>
    <x v="10"/>
    <s v="Oklahoma City Community College "/>
    <m/>
    <n v="207449"/>
    <x v="6"/>
    <n v="229097"/>
    <n v="224018"/>
    <n v="165940"/>
    <n v="167616"/>
    <n v="1875"/>
    <n v="1400"/>
    <n v="59075"/>
    <n v="0"/>
    <n v="2207"/>
    <n v="51672"/>
    <n v="0"/>
    <n v="3330"/>
    <n v="0"/>
    <n v="0"/>
    <n v="0"/>
    <n v="0"/>
    <m/>
    <m/>
    <m/>
    <m/>
    <m/>
    <m/>
    <m/>
    <m/>
    <m/>
    <m/>
    <m/>
    <m/>
  </r>
  <r>
    <x v="10"/>
    <s v="Tulsa Community College "/>
    <m/>
    <n v="207935"/>
    <x v="6"/>
    <n v="317549"/>
    <n v="295439"/>
    <n v="213994"/>
    <n v="191970"/>
    <n v="20693"/>
    <n v="21405"/>
    <n v="82862"/>
    <n v="0"/>
    <n v="0"/>
    <n v="82058"/>
    <n v="0"/>
    <n v="6"/>
    <n v="0"/>
    <n v="0"/>
    <n v="0"/>
    <n v="0"/>
    <m/>
    <m/>
    <m/>
    <m/>
    <m/>
    <m/>
    <m/>
    <m/>
    <m/>
    <m/>
    <m/>
    <m/>
  </r>
  <r>
    <x v="10"/>
    <s v="Northern Oklahoma College "/>
    <m/>
    <n v="207281"/>
    <x v="7"/>
    <n v="77640"/>
    <n v="75449"/>
    <n v="51797"/>
    <n v="48943"/>
    <n v="393"/>
    <n v="708"/>
    <n v="13468"/>
    <n v="11982"/>
    <n v="0"/>
    <n v="13913"/>
    <n v="11885"/>
    <n v="0"/>
    <n v="0"/>
    <n v="0"/>
    <n v="0"/>
    <n v="0"/>
    <m/>
    <m/>
    <m/>
    <m/>
    <m/>
    <m/>
    <m/>
    <m/>
    <m/>
    <m/>
    <m/>
    <m/>
  </r>
  <r>
    <x v="10"/>
    <s v="Rose State College "/>
    <m/>
    <n v="207670"/>
    <x v="7"/>
    <n v="129628"/>
    <n v="123670"/>
    <n v="88569"/>
    <n v="83364"/>
    <n v="402"/>
    <n v="421"/>
    <n v="37869"/>
    <n v="1635"/>
    <n v="1153"/>
    <n v="38694"/>
    <n v="1191"/>
    <n v="0"/>
    <n v="0"/>
    <n v="0"/>
    <n v="0"/>
    <n v="0"/>
    <m/>
    <m/>
    <m/>
    <m/>
    <m/>
    <m/>
    <m/>
    <m/>
    <m/>
    <m/>
    <m/>
    <m/>
  </r>
  <r>
    <x v="10"/>
    <s v="Carl Albert State College"/>
    <m/>
    <n v="206923"/>
    <x v="8"/>
    <n v="42448"/>
    <n v="40792"/>
    <n v="40924"/>
    <n v="39475"/>
    <n v="0"/>
    <n v="0"/>
    <n v="0"/>
    <n v="1524"/>
    <n v="0"/>
    <n v="0"/>
    <n v="1317"/>
    <n v="0"/>
    <n v="0"/>
    <n v="0"/>
    <n v="0"/>
    <n v="0"/>
    <m/>
    <m/>
    <m/>
    <m/>
    <m/>
    <m/>
    <m/>
    <m/>
    <m/>
    <m/>
    <m/>
    <m/>
  </r>
  <r>
    <x v="10"/>
    <s v="Connors State College "/>
    <m/>
    <n v="206996"/>
    <x v="8"/>
    <n v="52306"/>
    <n v="45978"/>
    <n v="24889"/>
    <n v="18302"/>
    <n v="4855"/>
    <n v="4494"/>
    <n v="19822"/>
    <n v="2740"/>
    <n v="0"/>
    <n v="20601"/>
    <n v="2581"/>
    <n v="0"/>
    <n v="0"/>
    <n v="0"/>
    <n v="0"/>
    <n v="0"/>
    <m/>
    <m/>
    <m/>
    <m/>
    <m/>
    <m/>
    <m/>
    <m/>
    <m/>
    <m/>
    <m/>
    <m/>
  </r>
  <r>
    <x v="10"/>
    <s v="Eastern Oklahoma State College "/>
    <m/>
    <n v="207050"/>
    <x v="8"/>
    <n v="32904"/>
    <n v="30907"/>
    <n v="20427"/>
    <n v="18804"/>
    <n v="486"/>
    <n v="324"/>
    <n v="9684"/>
    <n v="2307"/>
    <n v="0"/>
    <n v="9693"/>
    <n v="2086"/>
    <n v="0"/>
    <n v="0"/>
    <n v="0"/>
    <n v="0"/>
    <n v="0"/>
    <m/>
    <m/>
    <m/>
    <m/>
    <m/>
    <m/>
    <m/>
    <m/>
    <m/>
    <m/>
    <m/>
    <m/>
  </r>
  <r>
    <x v="10"/>
    <s v="Murray State College "/>
    <m/>
    <n v="207236"/>
    <x v="8"/>
    <n v="44197"/>
    <n v="36193"/>
    <n v="23662"/>
    <n v="15704"/>
    <n v="363"/>
    <n v="470"/>
    <n v="17097"/>
    <n v="3075"/>
    <n v="0"/>
    <n v="16901"/>
    <n v="2769"/>
    <n v="349"/>
    <n v="0"/>
    <n v="0"/>
    <n v="0"/>
    <n v="0"/>
    <m/>
    <m/>
    <m/>
    <m/>
    <m/>
    <m/>
    <m/>
    <m/>
    <m/>
    <m/>
    <m/>
    <m/>
  </r>
  <r>
    <x v="10"/>
    <s v="Northeastern Oklahoma A &amp; M College "/>
    <m/>
    <n v="207290"/>
    <x v="8"/>
    <n v="49976"/>
    <n v="48488"/>
    <n v="40997"/>
    <n v="39126"/>
    <n v="0"/>
    <n v="0"/>
    <n v="8832"/>
    <n v="147"/>
    <n v="0"/>
    <n v="9122"/>
    <n v="240"/>
    <n v="0"/>
    <n v="0"/>
    <n v="0"/>
    <n v="0"/>
    <n v="0"/>
    <m/>
    <m/>
    <m/>
    <m/>
    <m/>
    <m/>
    <m/>
    <m/>
    <m/>
    <m/>
    <m/>
    <m/>
  </r>
  <r>
    <x v="10"/>
    <s v="Redlands Community College"/>
    <m/>
    <n v="207069"/>
    <x v="8"/>
    <n v="36157"/>
    <n v="33040"/>
    <n v="15867"/>
    <n v="15000"/>
    <n v="2094"/>
    <n v="1389"/>
    <n v="17296"/>
    <n v="900"/>
    <n v="0"/>
    <n v="15877"/>
    <n v="774"/>
    <n v="0"/>
    <n v="0"/>
    <n v="0"/>
    <n v="0"/>
    <n v="0"/>
    <m/>
    <m/>
    <m/>
    <m/>
    <m/>
    <m/>
    <m/>
    <m/>
    <m/>
    <m/>
    <m/>
    <m/>
  </r>
  <r>
    <x v="10"/>
    <s v="Seminole State College "/>
    <m/>
    <n v="207740"/>
    <x v="8"/>
    <n v="36284"/>
    <n v="34556"/>
    <n v="27361"/>
    <n v="25796"/>
    <n v="1351"/>
    <n v="1227"/>
    <n v="7164"/>
    <n v="408"/>
    <n v="0"/>
    <n v="6962"/>
    <n v="571"/>
    <n v="0"/>
    <n v="0"/>
    <n v="0"/>
    <n v="0"/>
    <n v="0"/>
    <m/>
    <m/>
    <m/>
    <m/>
    <m/>
    <m/>
    <m/>
    <m/>
    <m/>
    <m/>
    <m/>
    <m/>
  </r>
  <r>
    <x v="10"/>
    <s v="Western Oklahoma State College "/>
    <m/>
    <n v="208035"/>
    <x v="8"/>
    <n v="26511"/>
    <n v="25451"/>
    <n v="15170"/>
    <n v="13509"/>
    <n v="488"/>
    <n v="402"/>
    <n v="8901"/>
    <n v="1952"/>
    <n v="0"/>
    <n v="9346"/>
    <n v="2194"/>
    <n v="0"/>
    <n v="0"/>
    <n v="0"/>
    <n v="0"/>
    <n v="0"/>
    <m/>
    <m/>
    <m/>
    <m/>
    <m/>
    <m/>
    <m/>
    <m/>
    <m/>
    <m/>
    <m/>
    <m/>
  </r>
  <r>
    <x v="11"/>
    <s v="Clemson University"/>
    <m/>
    <n v="217882"/>
    <x v="0"/>
    <n v="603785"/>
    <n v="618261"/>
    <n v="536931"/>
    <n v="540556"/>
    <n v="10739"/>
    <n v="16387"/>
    <n v="56115"/>
    <m/>
    <m/>
    <n v="61318"/>
    <m/>
    <m/>
    <m/>
    <m/>
    <n v="93420"/>
    <n v="96016"/>
    <n v="46433"/>
    <n v="46748"/>
    <n v="27141"/>
    <n v="26230"/>
    <n v="19846"/>
    <m/>
    <m/>
    <n v="23038"/>
    <m/>
    <m/>
    <m/>
    <m/>
  </r>
  <r>
    <x v="11"/>
    <s v="University of South Carolina-Columbia"/>
    <m/>
    <n v="218663"/>
    <x v="0"/>
    <n v="808864"/>
    <n v="818438"/>
    <n v="706804"/>
    <n v="702948"/>
    <n v="11778"/>
    <n v="12733"/>
    <n v="90225"/>
    <n v="57"/>
    <m/>
    <n v="102751"/>
    <n v="6"/>
    <m/>
    <m/>
    <m/>
    <n v="170000"/>
    <n v="176268"/>
    <n v="123981"/>
    <n v="130112"/>
    <n v="2801"/>
    <n v="3522"/>
    <n v="31235"/>
    <n v="11983"/>
    <m/>
    <n v="32381"/>
    <n v="10253"/>
    <m/>
    <m/>
    <m/>
  </r>
  <r>
    <x v="11"/>
    <s v="College of Charleston"/>
    <m/>
    <n v="217819"/>
    <x v="2"/>
    <n v="293389"/>
    <n v="286655"/>
    <n v="267919"/>
    <n v="251059"/>
    <n v="4927"/>
    <n v="7221"/>
    <n v="20543"/>
    <m/>
    <m/>
    <n v="28375"/>
    <m/>
    <m/>
    <m/>
    <m/>
    <n v="13433"/>
    <n v="13742"/>
    <n v="6905"/>
    <n v="6966"/>
    <n v="1837"/>
    <n v="1348"/>
    <n v="4691"/>
    <m/>
    <m/>
    <n v="5428"/>
    <m/>
    <m/>
    <m/>
    <m/>
  </r>
  <r>
    <x v="11"/>
    <s v="The Citadel, the Military College of South Carolina "/>
    <m/>
    <n v="217864"/>
    <x v="2"/>
    <n v="100553"/>
    <n v="100806"/>
    <n v="95474"/>
    <n v="94645"/>
    <n v="58"/>
    <n v="129"/>
    <n v="5021"/>
    <m/>
    <m/>
    <n v="6032"/>
    <m/>
    <m/>
    <m/>
    <m/>
    <n v="15405"/>
    <n v="15052"/>
    <n v="7190"/>
    <n v="6557"/>
    <n v="1386"/>
    <n v="1296"/>
    <n v="6829"/>
    <m/>
    <m/>
    <n v="7199"/>
    <m/>
    <m/>
    <m/>
    <m/>
  </r>
  <r>
    <x v="11"/>
    <s v="Winthrop University "/>
    <m/>
    <n v="218964"/>
    <x v="2"/>
    <n v="143981"/>
    <n v="138374"/>
    <n v="124625.5"/>
    <n v="118718.5"/>
    <n v="2545.5"/>
    <n v="2315"/>
    <n v="16810"/>
    <m/>
    <m/>
    <n v="17340.5"/>
    <m/>
    <m/>
    <m/>
    <m/>
    <n v="12567.5"/>
    <n v="13673"/>
    <n v="9359.5"/>
    <n v="8138"/>
    <n v="730"/>
    <n v="764"/>
    <n v="2478"/>
    <m/>
    <m/>
    <n v="4771"/>
    <m/>
    <m/>
    <m/>
    <m/>
  </r>
  <r>
    <x v="11"/>
    <s v="Coastal Carolina University"/>
    <m/>
    <n v="218724"/>
    <x v="3"/>
    <n v="292069"/>
    <n v="290884"/>
    <n v="238856"/>
    <n v="234393"/>
    <n v="2530"/>
    <n v="2407"/>
    <n v="50683"/>
    <m/>
    <m/>
    <n v="54084"/>
    <m/>
    <m/>
    <m/>
    <m/>
    <n v="13125"/>
    <n v="12890"/>
    <n v="4806"/>
    <n v="5438"/>
    <n v="1254"/>
    <n v="1408"/>
    <n v="7065"/>
    <m/>
    <m/>
    <n v="6044"/>
    <m/>
    <m/>
    <m/>
    <m/>
  </r>
  <r>
    <x v="11"/>
    <s v="Francis Marion University "/>
    <m/>
    <n v="218061"/>
    <x v="4"/>
    <n v="87859"/>
    <n v="85316"/>
    <n v="80875"/>
    <n v="75448"/>
    <n v="770"/>
    <n v="1323"/>
    <n v="6214"/>
    <m/>
    <m/>
    <n v="8545"/>
    <m/>
    <m/>
    <m/>
    <m/>
    <n v="8041"/>
    <n v="6583"/>
    <n v="4888"/>
    <n v="3531"/>
    <n v="908"/>
    <m/>
    <n v="2245"/>
    <m/>
    <m/>
    <n v="3052"/>
    <m/>
    <m/>
    <m/>
    <m/>
  </r>
  <r>
    <x v="11"/>
    <s v="South Carolina State University "/>
    <m/>
    <n v="218733"/>
    <x v="4"/>
    <n v="68036"/>
    <n v="63835"/>
    <n v="61512"/>
    <n v="56176"/>
    <m/>
    <m/>
    <n v="6524"/>
    <m/>
    <m/>
    <n v="7659"/>
    <m/>
    <m/>
    <m/>
    <m/>
    <n v="8239"/>
    <n v="6113"/>
    <n v="7150"/>
    <n v="5264"/>
    <m/>
    <m/>
    <n v="1032"/>
    <n v="57"/>
    <m/>
    <n v="825"/>
    <n v="24"/>
    <m/>
    <m/>
    <m/>
  </r>
  <r>
    <x v="11"/>
    <s v="Lander University"/>
    <s v="Met the criteria for Four-Year 5 in 2019-20."/>
    <n v="218229"/>
    <x v="5"/>
    <n v="82016.5"/>
    <n v="87864.5"/>
    <n v="73509.5"/>
    <n v="75733.5"/>
    <n v="75"/>
    <n v="36"/>
    <n v="8432"/>
    <m/>
    <m/>
    <n v="12095"/>
    <m/>
    <m/>
    <m/>
    <m/>
    <n v="1610"/>
    <n v="1553"/>
    <n v="495"/>
    <n v="462"/>
    <m/>
    <m/>
    <n v="1115"/>
    <m/>
    <m/>
    <n v="1091"/>
    <m/>
    <m/>
    <m/>
    <m/>
  </r>
  <r>
    <x v="11"/>
    <s v="University of South Carolina-Aiken"/>
    <s v="Met the criteria for Four-Year 5 in 2019-20."/>
    <n v="218645"/>
    <x v="5"/>
    <n v="91856"/>
    <n v="86188"/>
    <n v="68797"/>
    <n v="65050"/>
    <n v="3837"/>
    <n v="3554"/>
    <n v="19222"/>
    <m/>
    <m/>
    <n v="17584"/>
    <m/>
    <m/>
    <m/>
    <m/>
    <n v="1610"/>
    <n v="6315"/>
    <n v="428"/>
    <n v="566"/>
    <m/>
    <m/>
    <n v="1182"/>
    <m/>
    <m/>
    <n v="5749"/>
    <m/>
    <m/>
    <m/>
    <m/>
  </r>
  <r>
    <x v="11"/>
    <s v="University of South Carolina-Beaufort"/>
    <m/>
    <n v="218654"/>
    <x v="5"/>
    <n v="58819"/>
    <n v="59462"/>
    <n v="40441"/>
    <n v="40140"/>
    <n v="2781"/>
    <n v="3813"/>
    <n v="15597"/>
    <m/>
    <m/>
    <n v="15509"/>
    <m/>
    <m/>
    <m/>
    <m/>
    <n v="0"/>
    <n v="39"/>
    <m/>
    <n v="39"/>
    <m/>
    <m/>
    <m/>
    <m/>
    <m/>
    <m/>
    <m/>
    <m/>
    <m/>
    <m/>
  </r>
  <r>
    <x v="11"/>
    <s v="University of South Carolina-Upstate"/>
    <m/>
    <n v="218742"/>
    <x v="5"/>
    <n v="159493"/>
    <n v="156255"/>
    <n v="111564"/>
    <n v="106954"/>
    <n v="8304"/>
    <n v="9960"/>
    <n v="39625"/>
    <m/>
    <m/>
    <n v="39341"/>
    <m/>
    <m/>
    <m/>
    <m/>
    <n v="1636"/>
    <n v="5254"/>
    <n v="294"/>
    <n v="3516"/>
    <n v="18"/>
    <n v="1034"/>
    <n v="1324"/>
    <m/>
    <m/>
    <n v="704"/>
    <m/>
    <m/>
    <m/>
    <m/>
  </r>
  <r>
    <x v="11"/>
    <s v="Greenville Technical College "/>
    <m/>
    <n v="218113"/>
    <x v="6"/>
    <n v="229910"/>
    <n v="228040"/>
    <n v="139527"/>
    <n v="142775"/>
    <n v="14789"/>
    <n v="15840"/>
    <n v="75594"/>
    <m/>
    <m/>
    <n v="69425"/>
    <m/>
    <m/>
    <m/>
    <m/>
    <n v="0"/>
    <n v="0"/>
    <m/>
    <m/>
    <m/>
    <m/>
    <m/>
    <m/>
    <m/>
    <m/>
    <m/>
    <m/>
    <m/>
    <m/>
  </r>
  <r>
    <x v="11"/>
    <s v="Horry-Georgetown Technical College "/>
    <m/>
    <n v="218140"/>
    <x v="6"/>
    <n v="155687"/>
    <n v="154207"/>
    <n v="97399"/>
    <n v="95030"/>
    <n v="7958"/>
    <n v="6745"/>
    <n v="50330"/>
    <m/>
    <m/>
    <n v="52432"/>
    <m/>
    <m/>
    <m/>
    <m/>
    <n v="0"/>
    <n v="0"/>
    <m/>
    <m/>
    <m/>
    <m/>
    <m/>
    <m/>
    <m/>
    <m/>
    <m/>
    <m/>
    <m/>
    <m/>
  </r>
  <r>
    <x v="11"/>
    <s v="Midlands Technical College "/>
    <m/>
    <n v="218353"/>
    <x v="6"/>
    <n v="218410"/>
    <n v="203271"/>
    <n v="144739"/>
    <n v="130286"/>
    <n v="15930"/>
    <n v="15492"/>
    <n v="57741"/>
    <m/>
    <m/>
    <n v="57493"/>
    <m/>
    <m/>
    <m/>
    <m/>
    <n v="0"/>
    <n v="0"/>
    <m/>
    <m/>
    <m/>
    <m/>
    <m/>
    <m/>
    <m/>
    <m/>
    <m/>
    <m/>
    <m/>
    <m/>
  </r>
  <r>
    <x v="11"/>
    <s v="Trident Technical College "/>
    <m/>
    <n v="218894"/>
    <x v="6"/>
    <n v="255420"/>
    <n v="251840"/>
    <n v="103857"/>
    <n v="94044"/>
    <n v="20816"/>
    <n v="22170"/>
    <n v="130747"/>
    <m/>
    <m/>
    <n v="135626"/>
    <m/>
    <m/>
    <m/>
    <m/>
    <n v="0"/>
    <n v="0"/>
    <m/>
    <m/>
    <m/>
    <m/>
    <m/>
    <m/>
    <m/>
    <m/>
    <m/>
    <m/>
    <m/>
    <m/>
  </r>
  <r>
    <x v="11"/>
    <s v="Central Carolina Technical College "/>
    <m/>
    <n v="218858"/>
    <x v="7"/>
    <n v="76761"/>
    <n v="73177"/>
    <n v="42570"/>
    <n v="36888"/>
    <n v="3155"/>
    <n v="3978"/>
    <n v="31036"/>
    <m/>
    <m/>
    <n v="32311"/>
    <m/>
    <m/>
    <m/>
    <m/>
    <n v="0"/>
    <n v="0"/>
    <m/>
    <m/>
    <m/>
    <m/>
    <m/>
    <m/>
    <m/>
    <m/>
    <m/>
    <m/>
    <m/>
    <m/>
  </r>
  <r>
    <x v="11"/>
    <s v="Florence-Darlington Technical College "/>
    <m/>
    <n v="218025"/>
    <x v="7"/>
    <n v="77988"/>
    <n v="78530"/>
    <n v="38487"/>
    <n v="46857"/>
    <n v="7034"/>
    <n v="5720"/>
    <n v="27850"/>
    <n v="4617"/>
    <m/>
    <n v="22744"/>
    <n v="3209"/>
    <m/>
    <m/>
    <m/>
    <n v="0"/>
    <n v="0"/>
    <m/>
    <m/>
    <m/>
    <m/>
    <m/>
    <m/>
    <m/>
    <m/>
    <m/>
    <m/>
    <m/>
    <m/>
  </r>
  <r>
    <x v="11"/>
    <s v="Piedmont Technical College "/>
    <m/>
    <n v="218520"/>
    <x v="7"/>
    <n v="98532"/>
    <n v="103825"/>
    <n v="39325"/>
    <n v="39867"/>
    <n v="10595"/>
    <n v="12139"/>
    <n v="42863"/>
    <n v="5749"/>
    <m/>
    <n v="45622"/>
    <n v="6197"/>
    <m/>
    <m/>
    <m/>
    <n v="0"/>
    <n v="0"/>
    <m/>
    <m/>
    <m/>
    <m/>
    <m/>
    <m/>
    <m/>
    <m/>
    <m/>
    <m/>
    <m/>
    <m/>
  </r>
  <r>
    <x v="11"/>
    <s v="Spartanburg Community College "/>
    <m/>
    <n v="218830"/>
    <x v="7"/>
    <n v="96953"/>
    <n v="97123"/>
    <n v="63688"/>
    <n v="61816"/>
    <n v="9668"/>
    <n v="10427"/>
    <n v="23597"/>
    <m/>
    <m/>
    <n v="24880"/>
    <m/>
    <m/>
    <m/>
    <m/>
    <n v="0"/>
    <n v="0"/>
    <m/>
    <m/>
    <m/>
    <m/>
    <m/>
    <m/>
    <m/>
    <m/>
    <m/>
    <m/>
    <m/>
    <m/>
  </r>
  <r>
    <x v="11"/>
    <s v="Tri-County Technical College "/>
    <m/>
    <n v="218885"/>
    <x v="7"/>
    <n v="143894"/>
    <n v="145876"/>
    <n v="99028"/>
    <n v="96691"/>
    <n v="6327"/>
    <n v="7278"/>
    <n v="38539"/>
    <m/>
    <m/>
    <n v="41907"/>
    <m/>
    <m/>
    <m/>
    <m/>
    <n v="0"/>
    <n v="0"/>
    <m/>
    <m/>
    <m/>
    <m/>
    <m/>
    <m/>
    <m/>
    <m/>
    <m/>
    <m/>
    <m/>
    <m/>
  </r>
  <r>
    <x v="11"/>
    <s v="York Technical College "/>
    <m/>
    <n v="218991"/>
    <x v="7"/>
    <n v="97786"/>
    <n v="99223"/>
    <n v="65060"/>
    <n v="49344"/>
    <n v="5838"/>
    <n v="6693"/>
    <n v="26888"/>
    <m/>
    <m/>
    <n v="43186"/>
    <m/>
    <m/>
    <m/>
    <m/>
    <n v="0"/>
    <n v="0"/>
    <m/>
    <m/>
    <m/>
    <m/>
    <m/>
    <m/>
    <m/>
    <m/>
    <m/>
    <m/>
    <m/>
    <m/>
  </r>
  <r>
    <x v="11"/>
    <s v="Aiken Technical College "/>
    <m/>
    <n v="217615"/>
    <x v="8"/>
    <n v="49102"/>
    <n v="46634"/>
    <n v="34114"/>
    <n v="30978"/>
    <n v="1569"/>
    <n v="2864"/>
    <n v="13419"/>
    <m/>
    <m/>
    <n v="12792"/>
    <m/>
    <m/>
    <m/>
    <m/>
    <n v="0"/>
    <n v="0"/>
    <m/>
    <m/>
    <m/>
    <m/>
    <m/>
    <m/>
    <m/>
    <m/>
    <m/>
    <m/>
    <m/>
    <m/>
  </r>
  <r>
    <x v="11"/>
    <s v="Denmark Technical College "/>
    <m/>
    <n v="217989"/>
    <x v="8"/>
    <n v="13691"/>
    <n v="11901"/>
    <n v="6522"/>
    <n v="5094"/>
    <n v="1232"/>
    <n v="1109"/>
    <n v="5937"/>
    <m/>
    <m/>
    <n v="5698"/>
    <m/>
    <m/>
    <m/>
    <m/>
    <n v="0"/>
    <n v="0"/>
    <m/>
    <m/>
    <m/>
    <m/>
    <m/>
    <m/>
    <m/>
    <m/>
    <m/>
    <m/>
    <m/>
    <m/>
  </r>
  <r>
    <x v="11"/>
    <s v="Northeastern Technical College "/>
    <m/>
    <n v="217837"/>
    <x v="8"/>
    <n v="24755"/>
    <n v="27291"/>
    <n v="7449"/>
    <n v="5890"/>
    <n v="1755"/>
    <n v="2607"/>
    <n v="11422"/>
    <n v="4129"/>
    <m/>
    <n v="16295"/>
    <n v="2499"/>
    <m/>
    <m/>
    <m/>
    <n v="0"/>
    <n v="0"/>
    <m/>
    <m/>
    <m/>
    <m/>
    <m/>
    <m/>
    <m/>
    <m/>
    <m/>
    <m/>
    <m/>
    <m/>
  </r>
  <r>
    <x v="11"/>
    <s v="Orangeburg-Calhoun Technical College "/>
    <m/>
    <n v="218487"/>
    <x v="8"/>
    <n v="50204"/>
    <n v="50568"/>
    <n v="28543"/>
    <n v="25998"/>
    <n v="8710"/>
    <n v="9324"/>
    <n v="12951"/>
    <m/>
    <m/>
    <n v="15246"/>
    <m/>
    <m/>
    <m/>
    <m/>
    <n v="0"/>
    <n v="0"/>
    <m/>
    <m/>
    <m/>
    <m/>
    <m/>
    <m/>
    <m/>
    <m/>
    <m/>
    <m/>
    <m/>
    <m/>
  </r>
  <r>
    <x v="11"/>
    <s v="Technical College of the Lowcountry"/>
    <m/>
    <n v="217712"/>
    <x v="8"/>
    <n v="45401"/>
    <n v="44205"/>
    <n v="27231"/>
    <n v="26077"/>
    <n v="1729"/>
    <n v="1544"/>
    <n v="16441"/>
    <m/>
    <m/>
    <n v="16584"/>
    <m/>
    <m/>
    <m/>
    <m/>
    <n v="0"/>
    <n v="0"/>
    <m/>
    <m/>
    <m/>
    <m/>
    <m/>
    <m/>
    <m/>
    <m/>
    <m/>
    <m/>
    <m/>
    <m/>
  </r>
  <r>
    <x v="11"/>
    <s v="University of South Carolina-Lancaster"/>
    <m/>
    <n v="218672"/>
    <x v="8"/>
    <n v="33366"/>
    <n v="33443"/>
    <n v="25144"/>
    <n v="25072"/>
    <n v="6500"/>
    <n v="791"/>
    <n v="1722"/>
    <m/>
    <m/>
    <n v="2606"/>
    <m/>
    <n v="4974"/>
    <m/>
    <m/>
    <n v="0"/>
    <n v="0"/>
    <m/>
    <m/>
    <m/>
    <m/>
    <m/>
    <m/>
    <m/>
    <m/>
    <m/>
    <m/>
    <m/>
    <m/>
  </r>
  <r>
    <x v="11"/>
    <s v="University of South Carolina-Salkehatchie"/>
    <m/>
    <n v="218681"/>
    <x v="8"/>
    <n v="20505"/>
    <n v="19210"/>
    <n v="14468"/>
    <n v="13797"/>
    <n v="3034"/>
    <n v="2793"/>
    <n v="3003"/>
    <m/>
    <m/>
    <n v="2620"/>
    <m/>
    <m/>
    <m/>
    <m/>
    <n v="0"/>
    <n v="3"/>
    <m/>
    <m/>
    <m/>
    <m/>
    <m/>
    <m/>
    <m/>
    <n v="3"/>
    <m/>
    <m/>
    <m/>
    <m/>
  </r>
  <r>
    <x v="11"/>
    <s v="University of South Carolina-Sumter"/>
    <m/>
    <n v="218690"/>
    <x v="8"/>
    <n v="23229"/>
    <n v="24544"/>
    <n v="17239"/>
    <n v="15829"/>
    <n v="2615"/>
    <n v="4613"/>
    <n v="3375"/>
    <m/>
    <m/>
    <n v="4102"/>
    <m/>
    <m/>
    <m/>
    <m/>
    <n v="0"/>
    <n v="0"/>
    <m/>
    <m/>
    <m/>
    <m/>
    <m/>
    <m/>
    <m/>
    <m/>
    <m/>
    <m/>
    <m/>
    <m/>
  </r>
  <r>
    <x v="11"/>
    <s v="University of South Carolina-Union"/>
    <m/>
    <n v="218706"/>
    <x v="8"/>
    <n v="18318"/>
    <n v="20044"/>
    <n v="9669"/>
    <n v="9363"/>
    <n v="8607"/>
    <n v="7213"/>
    <n v="42"/>
    <m/>
    <m/>
    <n v="3468"/>
    <m/>
    <m/>
    <m/>
    <m/>
    <n v="0"/>
    <n v="0"/>
    <m/>
    <m/>
    <m/>
    <m/>
    <m/>
    <m/>
    <m/>
    <m/>
    <m/>
    <m/>
    <m/>
    <m/>
  </r>
  <r>
    <x v="11"/>
    <s v="Williamsburg Technical College "/>
    <m/>
    <n v="218955"/>
    <x v="8"/>
    <n v="14780"/>
    <n v="15847"/>
    <n v="10786"/>
    <n v="10182"/>
    <n v="3112"/>
    <n v="3651"/>
    <n v="882"/>
    <m/>
    <m/>
    <n v="2014"/>
    <m/>
    <m/>
    <m/>
    <m/>
    <n v="0"/>
    <n v="0"/>
    <m/>
    <m/>
    <m/>
    <m/>
    <m/>
    <m/>
    <m/>
    <m/>
    <m/>
    <m/>
    <m/>
    <m/>
  </r>
  <r>
    <x v="12"/>
    <s v="University of Memphis"/>
    <m/>
    <n v="220862"/>
    <x v="0"/>
    <n v="405823"/>
    <n v="405032"/>
    <n v="261130"/>
    <n v="247000"/>
    <n v="19140"/>
    <n v="19611"/>
    <n v="88562"/>
    <n v="138"/>
    <n v="35045"/>
    <n v="100487"/>
    <n v="102"/>
    <n v="35033"/>
    <n v="1808"/>
    <n v="2799"/>
    <n v="61806"/>
    <n v="63984"/>
    <n v="34604"/>
    <n v="34570"/>
    <n v="114"/>
    <n v="87"/>
    <n v="20377"/>
    <n v="165"/>
    <n v="3385"/>
    <n v="22996"/>
    <n v="255"/>
    <n v="2975"/>
    <n v="3161"/>
    <n v="3101"/>
  </r>
  <r>
    <x v="12"/>
    <s v="University of Tennessee, Knoxville"/>
    <m/>
    <n v="221759"/>
    <x v="0"/>
    <n v="629213"/>
    <n v="644562"/>
    <n v="586800"/>
    <n v="602666"/>
    <n v="0"/>
    <n v="0"/>
    <n v="37535"/>
    <n v="0"/>
    <n v="1398"/>
    <n v="36239"/>
    <n v="0"/>
    <n v="1620"/>
    <n v="3480"/>
    <n v="4037"/>
    <n v="89466"/>
    <n v="91235"/>
    <n v="67421"/>
    <n v="66616"/>
    <n v="2210"/>
    <n v="2127"/>
    <n v="16620"/>
    <n v="0"/>
    <n v="1059"/>
    <n v="19236"/>
    <n v="12"/>
    <n v="969"/>
    <n v="2156"/>
    <n v="2275"/>
  </r>
  <r>
    <x v="12"/>
    <s v="East Tennessee State University "/>
    <m/>
    <n v="220075"/>
    <x v="1"/>
    <n v="304480"/>
    <n v="302716"/>
    <n v="192301"/>
    <n v="182037"/>
    <n v="11280"/>
    <n v="12122"/>
    <n v="75284"/>
    <n v="7020"/>
    <n v="16131"/>
    <n v="82575"/>
    <n v="9018"/>
    <n v="14559"/>
    <n v="2464"/>
    <n v="2405"/>
    <n v="45590"/>
    <n v="45398"/>
    <n v="18085"/>
    <n v="17091"/>
    <n v="1326"/>
    <n v="1150"/>
    <n v="22285"/>
    <n v="240"/>
    <n v="1298"/>
    <n v="23238"/>
    <n v="330"/>
    <n v="1376"/>
    <n v="2356"/>
    <n v="2213"/>
  </r>
  <r>
    <x v="12"/>
    <s v="Middle Tennessee State University "/>
    <m/>
    <n v="220978"/>
    <x v="1"/>
    <n v="499469"/>
    <n v="495503"/>
    <n v="392181"/>
    <n v="380999"/>
    <n v="5932"/>
    <n v="7777"/>
    <n v="77579"/>
    <n v="103"/>
    <n v="19652"/>
    <n v="82270"/>
    <n v="23"/>
    <n v="20484"/>
    <n v="4022"/>
    <n v="3950"/>
    <n v="35554"/>
    <n v="34306"/>
    <n v="19902"/>
    <n v="18213"/>
    <n v="2128"/>
    <n v="1981"/>
    <n v="11228"/>
    <n v="0"/>
    <n v="657"/>
    <n v="11493"/>
    <n v="0"/>
    <n v="619"/>
    <n v="1639"/>
    <n v="2000"/>
  </r>
  <r>
    <x v="12"/>
    <s v="Tennessee State University "/>
    <m/>
    <n v="221838"/>
    <x v="1"/>
    <n v="167380"/>
    <n v="156680"/>
    <n v="129995"/>
    <n v="118551"/>
    <n v="18872"/>
    <n v="18346"/>
    <n v="15669"/>
    <n v="0"/>
    <n v="2397"/>
    <n v="17164"/>
    <n v="0"/>
    <n v="1935"/>
    <n v="447"/>
    <n v="684"/>
    <n v="22810"/>
    <n v="24128"/>
    <n v="11288"/>
    <n v="10742"/>
    <n v="5681"/>
    <n v="5591"/>
    <n v="4413"/>
    <n v="0"/>
    <n v="892"/>
    <n v="6492"/>
    <n v="0"/>
    <n v="944"/>
    <n v="536"/>
    <n v="359"/>
  </r>
  <r>
    <x v="12"/>
    <s v="Austin Peay State University "/>
    <m/>
    <n v="219602"/>
    <x v="2"/>
    <n v="250666"/>
    <n v="247322"/>
    <n v="155276"/>
    <n v="146208"/>
    <n v="11898"/>
    <n v="12995"/>
    <n v="68622"/>
    <n v="0"/>
    <n v="13101"/>
    <n v="72863"/>
    <n v="0"/>
    <n v="14026"/>
    <n v="1769"/>
    <n v="1230"/>
    <n v="17800"/>
    <n v="19334"/>
    <n v="4925"/>
    <n v="4376"/>
    <n v="42"/>
    <n v="6"/>
    <n v="11911"/>
    <n v="0"/>
    <n v="533"/>
    <n v="13289"/>
    <n v="0"/>
    <n v="1309"/>
    <n v="389"/>
    <n v="354"/>
  </r>
  <r>
    <x v="12"/>
    <s v="Tennessee Technological University "/>
    <m/>
    <n v="221847"/>
    <x v="2"/>
    <n v="247503"/>
    <n v="242827"/>
    <n v="149041"/>
    <n v="146426"/>
    <n v="6072"/>
    <n v="5302"/>
    <n v="25178"/>
    <n v="0"/>
    <n v="63946"/>
    <n v="26667"/>
    <n v="0"/>
    <n v="61836"/>
    <n v="3266"/>
    <n v="2596"/>
    <n v="16119"/>
    <n v="16610"/>
    <n v="3510"/>
    <n v="3383"/>
    <n v="111"/>
    <n v="141"/>
    <n v="9617"/>
    <n v="0"/>
    <n v="1956"/>
    <n v="10377"/>
    <n v="0"/>
    <n v="1775"/>
    <n v="925"/>
    <n v="934"/>
  </r>
  <r>
    <x v="12"/>
    <s v="University of Tennessee at Chattanooga"/>
    <m/>
    <n v="221740"/>
    <x v="2"/>
    <n v="281364"/>
    <n v="282887"/>
    <n v="226507"/>
    <n v="221900"/>
    <n v="566"/>
    <n v="447"/>
    <n v="53123"/>
    <n v="0"/>
    <n v="30"/>
    <n v="59314"/>
    <n v="0"/>
    <n v="6"/>
    <n v="1138"/>
    <n v="1220"/>
    <n v="27042"/>
    <n v="26353"/>
    <n v="16993"/>
    <n v="16261"/>
    <n v="0"/>
    <n v="0"/>
    <n v="9669"/>
    <n v="0"/>
    <n v="0"/>
    <n v="9812"/>
    <n v="0"/>
    <n v="0"/>
    <n v="380"/>
    <n v="280"/>
  </r>
  <r>
    <x v="12"/>
    <s v="University of Tennessee at Martin"/>
    <s v="Met the criteria for Four-Year 4 in 2018-19 and 2019-20."/>
    <n v="221768"/>
    <x v="4"/>
    <n v="164329"/>
    <n v="161305"/>
    <n v="121607"/>
    <n v="118058"/>
    <n v="12912"/>
    <n v="14637"/>
    <n v="25943"/>
    <n v="3647"/>
    <n v="53"/>
    <n v="24076"/>
    <n v="4269"/>
    <n v="21"/>
    <n v="167"/>
    <n v="244"/>
    <n v="5602"/>
    <n v="6765"/>
    <n v="824"/>
    <n v="651"/>
    <n v="0"/>
    <n v="3"/>
    <n v="4775"/>
    <n v="0"/>
    <n v="3"/>
    <n v="6111"/>
    <n v="0"/>
    <n v="0"/>
    <n v="0"/>
    <n v="0"/>
  </r>
  <r>
    <x v="12"/>
    <s v="Chattanooga State Technical Community College "/>
    <m/>
    <n v="219824"/>
    <x v="6"/>
    <n v="166483"/>
    <n v="161827"/>
    <n v="98552"/>
    <n v="96596"/>
    <n v="10905"/>
    <n v="9715"/>
    <n v="44075"/>
    <n v="0"/>
    <n v="12515"/>
    <n v="43694"/>
    <n v="0"/>
    <n v="11521"/>
    <n v="436"/>
    <n v="301"/>
    <n v="0"/>
    <n v="0"/>
    <m/>
    <m/>
    <m/>
    <m/>
    <m/>
    <m/>
    <m/>
    <m/>
    <m/>
    <m/>
    <m/>
    <m/>
  </r>
  <r>
    <x v="12"/>
    <s v="Nashville State Technical Community College"/>
    <m/>
    <n v="221184"/>
    <x v="6"/>
    <n v="156830"/>
    <n v="156550"/>
    <n v="56816"/>
    <n v="53784"/>
    <n v="60531"/>
    <n v="61731"/>
    <n v="35045"/>
    <n v="0"/>
    <n v="4244"/>
    <n v="35867"/>
    <n v="0"/>
    <n v="4986"/>
    <n v="194"/>
    <n v="182"/>
    <n v="0"/>
    <n v="0"/>
    <m/>
    <m/>
    <m/>
    <m/>
    <m/>
    <m/>
    <m/>
    <m/>
    <m/>
    <m/>
    <m/>
    <m/>
  </r>
  <r>
    <x v="12"/>
    <s v="Pellissippi State Technical Community College"/>
    <m/>
    <n v="221643"/>
    <x v="6"/>
    <n v="220581"/>
    <n v="214124"/>
    <n v="113793"/>
    <n v="106006"/>
    <n v="60060"/>
    <n v="58734"/>
    <n v="40285"/>
    <n v="0"/>
    <n v="6299"/>
    <n v="42827"/>
    <n v="135"/>
    <n v="6311"/>
    <n v="144"/>
    <n v="111"/>
    <n v="0"/>
    <n v="0"/>
    <m/>
    <m/>
    <m/>
    <m/>
    <m/>
    <m/>
    <m/>
    <m/>
    <m/>
    <m/>
    <m/>
    <m/>
  </r>
  <r>
    <x v="12"/>
    <s v="Southwest Tennessee Community College"/>
    <m/>
    <n v="221485"/>
    <x v="6"/>
    <n v="161123"/>
    <n v="163644"/>
    <n v="0"/>
    <n v="0"/>
    <n v="115976"/>
    <n v="115219"/>
    <n v="33705"/>
    <n v="0"/>
    <n v="11433"/>
    <n v="38144"/>
    <n v="0"/>
    <n v="10249"/>
    <n v="9"/>
    <n v="32"/>
    <n v="0"/>
    <n v="0"/>
    <m/>
    <m/>
    <m/>
    <m/>
    <m/>
    <m/>
    <m/>
    <m/>
    <m/>
    <m/>
    <m/>
    <m/>
  </r>
  <r>
    <x v="12"/>
    <s v="Volunteer State Community College "/>
    <m/>
    <n v="222053"/>
    <x v="6"/>
    <n v="178496"/>
    <n v="181863"/>
    <n v="90896"/>
    <n v="87752"/>
    <n v="27106"/>
    <n v="26774"/>
    <n v="51894"/>
    <n v="18"/>
    <n v="8126"/>
    <n v="57843"/>
    <n v="170"/>
    <n v="8735"/>
    <n v="456"/>
    <n v="589"/>
    <n v="0"/>
    <n v="0"/>
    <m/>
    <m/>
    <m/>
    <m/>
    <m/>
    <m/>
    <m/>
    <m/>
    <m/>
    <m/>
    <m/>
    <m/>
  </r>
  <r>
    <x v="12"/>
    <s v="Cleveland State Community College "/>
    <m/>
    <n v="219879"/>
    <x v="7"/>
    <n v="62950"/>
    <n v="66625"/>
    <n v="30964"/>
    <n v="32224"/>
    <n v="10258"/>
    <n v="11068"/>
    <n v="11612"/>
    <n v="81"/>
    <n v="9480"/>
    <n v="12796"/>
    <n v="78"/>
    <n v="9707"/>
    <n v="555"/>
    <n v="752"/>
    <n v="0"/>
    <n v="0"/>
    <m/>
    <m/>
    <m/>
    <m/>
    <m/>
    <m/>
    <m/>
    <m/>
    <m/>
    <m/>
    <m/>
    <m/>
  </r>
  <r>
    <x v="12"/>
    <s v="Columbia State Community College "/>
    <m/>
    <n v="219888"/>
    <x v="7"/>
    <n v="119843"/>
    <n v="124217"/>
    <n v="35412"/>
    <n v="35638"/>
    <n v="47234"/>
    <n v="48703"/>
    <n v="27407"/>
    <n v="1107"/>
    <n v="8471"/>
    <n v="29607"/>
    <n v="516"/>
    <n v="9523"/>
    <n v="212"/>
    <n v="230"/>
    <n v="0"/>
    <n v="0"/>
    <m/>
    <m/>
    <m/>
    <m/>
    <m/>
    <m/>
    <m/>
    <m/>
    <m/>
    <m/>
    <m/>
    <m/>
  </r>
  <r>
    <x v="12"/>
    <s v="Jackson State Community College "/>
    <m/>
    <n v="220400"/>
    <x v="7"/>
    <n v="89978"/>
    <n v="90485"/>
    <n v="43724"/>
    <n v="43115"/>
    <n v="12870"/>
    <n v="11322"/>
    <n v="21112"/>
    <n v="3386"/>
    <n v="8829"/>
    <n v="23676"/>
    <n v="3732"/>
    <n v="8606"/>
    <n v="57"/>
    <n v="34"/>
    <n v="0"/>
    <n v="0"/>
    <m/>
    <m/>
    <m/>
    <m/>
    <m/>
    <m/>
    <m/>
    <m/>
    <m/>
    <m/>
    <m/>
    <m/>
  </r>
  <r>
    <x v="12"/>
    <s v="Motlow State Community College "/>
    <m/>
    <n v="221096"/>
    <x v="7"/>
    <n v="130665"/>
    <n v="138618"/>
    <n v="22707"/>
    <n v="21203"/>
    <n v="66099"/>
    <n v="68173"/>
    <n v="32415"/>
    <n v="5607"/>
    <n v="3589"/>
    <n v="39276"/>
    <n v="5837"/>
    <n v="3852"/>
    <n v="248"/>
    <n v="277"/>
    <n v="0"/>
    <n v="0"/>
    <m/>
    <m/>
    <m/>
    <m/>
    <m/>
    <m/>
    <m/>
    <m/>
    <m/>
    <m/>
    <m/>
    <m/>
  </r>
  <r>
    <x v="12"/>
    <s v="Northeast State Technical Community College"/>
    <m/>
    <n v="221908"/>
    <x v="7"/>
    <n v="123242"/>
    <n v="123234"/>
    <n v="64517"/>
    <n v="60595"/>
    <n v="35714"/>
    <n v="34620"/>
    <n v="17016"/>
    <n v="2502"/>
    <n v="3145"/>
    <n v="21569"/>
    <n v="1915"/>
    <n v="4239"/>
    <n v="348"/>
    <n v="296"/>
    <n v="0"/>
    <n v="0"/>
    <m/>
    <m/>
    <m/>
    <m/>
    <m/>
    <m/>
    <m/>
    <m/>
    <m/>
    <m/>
    <m/>
    <m/>
  </r>
  <r>
    <x v="12"/>
    <s v="Roane State Community College "/>
    <m/>
    <n v="221397"/>
    <x v="7"/>
    <n v="108604"/>
    <n v="113977"/>
    <n v="15281"/>
    <n v="15436"/>
    <n v="53090"/>
    <n v="54495"/>
    <n v="26732"/>
    <n v="4383"/>
    <n v="9101"/>
    <n v="29158"/>
    <n v="4251"/>
    <n v="10593"/>
    <n v="17"/>
    <n v="44"/>
    <n v="0"/>
    <n v="0"/>
    <m/>
    <m/>
    <m/>
    <m/>
    <m/>
    <m/>
    <m/>
    <m/>
    <m/>
    <m/>
    <m/>
    <m/>
  </r>
  <r>
    <x v="12"/>
    <s v="Walters State Community College "/>
    <m/>
    <n v="222062"/>
    <x v="7"/>
    <n v="115782"/>
    <n v="120814"/>
    <n v="43547"/>
    <n v="43511"/>
    <n v="42733"/>
    <n v="41197"/>
    <n v="21439"/>
    <n v="6109"/>
    <n v="1942"/>
    <n v="26072"/>
    <n v="6718"/>
    <n v="3316"/>
    <n v="12"/>
    <n v="0"/>
    <n v="0"/>
    <n v="0"/>
    <m/>
    <m/>
    <m/>
    <m/>
    <m/>
    <m/>
    <m/>
    <m/>
    <m/>
    <m/>
    <m/>
    <m/>
  </r>
  <r>
    <x v="12"/>
    <s v="Dyersburg State Community College "/>
    <m/>
    <n v="220057"/>
    <x v="8"/>
    <n v="51313"/>
    <n v="52670"/>
    <n v="15105"/>
    <n v="16279"/>
    <n v="20231"/>
    <n v="19381"/>
    <n v="11824"/>
    <n v="2906"/>
    <n v="981"/>
    <n v="12698"/>
    <n v="3386"/>
    <n v="706"/>
    <n v="266"/>
    <n v="220"/>
    <n v="0"/>
    <n v="0"/>
    <m/>
    <m/>
    <m/>
    <m/>
    <m/>
    <m/>
    <m/>
    <m/>
    <m/>
    <m/>
    <m/>
    <m/>
  </r>
  <r>
    <x v="12"/>
    <s v="Tennessee College of Applied Technology at Chattanooga"/>
    <s v="Reclassified: Met the criteria for Technical Institute or College 2 in 2017-18, 2018-19, and 2019-20."/>
    <s v="219824B"/>
    <x v="10"/>
    <n v="0"/>
    <n v="0"/>
    <m/>
    <m/>
    <m/>
    <m/>
    <m/>
    <m/>
    <m/>
    <m/>
    <m/>
    <m/>
    <m/>
    <m/>
    <n v="0"/>
    <n v="0"/>
    <m/>
    <m/>
    <m/>
    <m/>
    <m/>
    <m/>
    <m/>
    <m/>
    <m/>
    <m/>
    <m/>
    <m/>
  </r>
  <r>
    <x v="12"/>
    <s v="Tennessee College of Applied Technology at Athens"/>
    <m/>
    <n v="219596"/>
    <x v="10"/>
    <n v="0"/>
    <n v="0"/>
    <m/>
    <m/>
    <m/>
    <m/>
    <m/>
    <m/>
    <m/>
    <m/>
    <m/>
    <m/>
    <m/>
    <m/>
    <n v="0"/>
    <n v="0"/>
    <m/>
    <m/>
    <m/>
    <m/>
    <m/>
    <m/>
    <m/>
    <m/>
    <m/>
    <m/>
    <m/>
    <m/>
  </r>
  <r>
    <x v="12"/>
    <s v="Tennessee College of Applied Technology at Covington"/>
    <m/>
    <n v="219921"/>
    <x v="10"/>
    <n v="0"/>
    <n v="0"/>
    <m/>
    <m/>
    <m/>
    <m/>
    <m/>
    <m/>
    <m/>
    <m/>
    <m/>
    <m/>
    <m/>
    <m/>
    <n v="0"/>
    <n v="0"/>
    <m/>
    <m/>
    <m/>
    <m/>
    <m/>
    <m/>
    <m/>
    <m/>
    <m/>
    <m/>
    <m/>
    <m/>
  </r>
  <r>
    <x v="12"/>
    <s v="Tennessee College of Applied Technology at Crossville"/>
    <m/>
    <n v="221591"/>
    <x v="10"/>
    <n v="0"/>
    <n v="0"/>
    <m/>
    <m/>
    <m/>
    <m/>
    <m/>
    <m/>
    <m/>
    <m/>
    <m/>
    <m/>
    <m/>
    <m/>
    <n v="0"/>
    <n v="0"/>
    <m/>
    <m/>
    <m/>
    <m/>
    <m/>
    <m/>
    <m/>
    <m/>
    <m/>
    <m/>
    <m/>
    <m/>
  </r>
  <r>
    <x v="12"/>
    <s v="Tennessee College of Applied Technology at Crump"/>
    <m/>
    <n v="221430"/>
    <x v="10"/>
    <n v="0"/>
    <n v="0"/>
    <m/>
    <m/>
    <m/>
    <m/>
    <m/>
    <m/>
    <m/>
    <m/>
    <m/>
    <m/>
    <m/>
    <m/>
    <n v="0"/>
    <n v="0"/>
    <m/>
    <m/>
    <m/>
    <m/>
    <m/>
    <m/>
    <m/>
    <m/>
    <m/>
    <m/>
    <m/>
    <m/>
  </r>
  <r>
    <x v="12"/>
    <s v="Tennessee College of Applied Technology at Dickson"/>
    <m/>
    <n v="219994"/>
    <x v="10"/>
    <n v="0"/>
    <n v="0"/>
    <m/>
    <m/>
    <m/>
    <m/>
    <m/>
    <m/>
    <m/>
    <m/>
    <m/>
    <m/>
    <m/>
    <m/>
    <n v="0"/>
    <n v="0"/>
    <m/>
    <m/>
    <m/>
    <m/>
    <m/>
    <m/>
    <m/>
    <m/>
    <m/>
    <m/>
    <m/>
    <m/>
  </r>
  <r>
    <x v="12"/>
    <s v="Tennessee College of Applied Technology at Elizabethton"/>
    <m/>
    <n v="220127"/>
    <x v="10"/>
    <n v="0"/>
    <n v="0"/>
    <m/>
    <m/>
    <m/>
    <m/>
    <m/>
    <m/>
    <m/>
    <m/>
    <m/>
    <m/>
    <m/>
    <m/>
    <n v="0"/>
    <n v="0"/>
    <m/>
    <m/>
    <m/>
    <m/>
    <m/>
    <m/>
    <m/>
    <m/>
    <m/>
    <m/>
    <m/>
    <m/>
  </r>
  <r>
    <x v="12"/>
    <s v="Tennessee College of Applied Technology at Harriman"/>
    <m/>
    <n v="220251"/>
    <x v="10"/>
    <n v="0"/>
    <n v="0"/>
    <m/>
    <m/>
    <m/>
    <m/>
    <m/>
    <m/>
    <m/>
    <m/>
    <m/>
    <m/>
    <m/>
    <m/>
    <n v="0"/>
    <n v="0"/>
    <m/>
    <m/>
    <m/>
    <m/>
    <m/>
    <m/>
    <m/>
    <m/>
    <m/>
    <m/>
    <m/>
    <m/>
  </r>
  <r>
    <x v="12"/>
    <s v="Tennessee College of Applied Technology at Hartsville"/>
    <m/>
    <n v="220279"/>
    <x v="10"/>
    <n v="0"/>
    <n v="0"/>
    <m/>
    <m/>
    <m/>
    <m/>
    <m/>
    <m/>
    <m/>
    <m/>
    <m/>
    <m/>
    <m/>
    <m/>
    <n v="0"/>
    <n v="0"/>
    <m/>
    <m/>
    <m/>
    <m/>
    <m/>
    <m/>
    <m/>
    <m/>
    <m/>
    <m/>
    <m/>
    <m/>
  </r>
  <r>
    <x v="12"/>
    <s v="Tennessee College of Applied Technology at Hohenwald"/>
    <m/>
    <n v="220321"/>
    <x v="10"/>
    <n v="0"/>
    <n v="0"/>
    <m/>
    <m/>
    <m/>
    <m/>
    <m/>
    <m/>
    <m/>
    <m/>
    <m/>
    <m/>
    <m/>
    <m/>
    <n v="0"/>
    <n v="0"/>
    <m/>
    <m/>
    <m/>
    <m/>
    <m/>
    <m/>
    <m/>
    <m/>
    <m/>
    <m/>
    <m/>
    <m/>
  </r>
  <r>
    <x v="12"/>
    <s v="Tennessee College of Applied Technology at Jacksboro"/>
    <m/>
    <n v="220394"/>
    <x v="10"/>
    <n v="0"/>
    <n v="0"/>
    <m/>
    <m/>
    <m/>
    <m/>
    <m/>
    <m/>
    <m/>
    <m/>
    <m/>
    <m/>
    <m/>
    <m/>
    <n v="0"/>
    <n v="0"/>
    <m/>
    <m/>
    <m/>
    <m/>
    <m/>
    <m/>
    <m/>
    <m/>
    <m/>
    <m/>
    <m/>
    <m/>
  </r>
  <r>
    <x v="12"/>
    <s v="Tennessee College of Applied Technology at Jackson"/>
    <m/>
    <n v="221616"/>
    <x v="10"/>
    <n v="0"/>
    <n v="0"/>
    <m/>
    <m/>
    <m/>
    <m/>
    <m/>
    <m/>
    <m/>
    <m/>
    <m/>
    <m/>
    <m/>
    <m/>
    <n v="0"/>
    <n v="0"/>
    <m/>
    <m/>
    <m/>
    <m/>
    <m/>
    <m/>
    <m/>
    <m/>
    <m/>
    <m/>
    <m/>
    <m/>
  </r>
  <r>
    <x v="12"/>
    <s v="Tennessee College of Applied Technology at Knoxville"/>
    <m/>
    <n v="221625"/>
    <x v="10"/>
    <n v="0"/>
    <n v="0"/>
    <m/>
    <m/>
    <m/>
    <m/>
    <m/>
    <m/>
    <m/>
    <m/>
    <m/>
    <m/>
    <m/>
    <m/>
    <n v="0"/>
    <n v="0"/>
    <m/>
    <m/>
    <m/>
    <m/>
    <m/>
    <m/>
    <m/>
    <m/>
    <m/>
    <m/>
    <m/>
    <m/>
  </r>
  <r>
    <x v="12"/>
    <s v="Tennessee College of Applied Technology at Livingston"/>
    <m/>
    <n v="220640"/>
    <x v="10"/>
    <n v="0"/>
    <n v="0"/>
    <m/>
    <m/>
    <m/>
    <m/>
    <m/>
    <m/>
    <m/>
    <m/>
    <m/>
    <m/>
    <m/>
    <m/>
    <n v="0"/>
    <n v="0"/>
    <m/>
    <m/>
    <m/>
    <m/>
    <m/>
    <m/>
    <m/>
    <m/>
    <m/>
    <m/>
    <m/>
    <m/>
  </r>
  <r>
    <x v="12"/>
    <s v="Tennessee College of Applied Technology at McKenzie"/>
    <m/>
    <n v="220756"/>
    <x v="10"/>
    <n v="0"/>
    <n v="0"/>
    <m/>
    <m/>
    <m/>
    <m/>
    <m/>
    <m/>
    <m/>
    <m/>
    <m/>
    <m/>
    <m/>
    <m/>
    <n v="0"/>
    <n v="0"/>
    <m/>
    <m/>
    <m/>
    <m/>
    <m/>
    <m/>
    <m/>
    <m/>
    <m/>
    <m/>
    <m/>
    <m/>
  </r>
  <r>
    <x v="12"/>
    <s v="Tennessee College of Applied Technology at McMinnville"/>
    <m/>
    <n v="221607"/>
    <x v="10"/>
    <n v="0"/>
    <n v="0"/>
    <m/>
    <m/>
    <m/>
    <m/>
    <m/>
    <m/>
    <m/>
    <m/>
    <m/>
    <m/>
    <m/>
    <m/>
    <n v="0"/>
    <n v="0"/>
    <m/>
    <m/>
    <m/>
    <m/>
    <m/>
    <m/>
    <m/>
    <m/>
    <m/>
    <m/>
    <m/>
    <m/>
  </r>
  <r>
    <x v="12"/>
    <s v="Tennessee College of Applied Technology at Memphis"/>
    <s v="Met the criteria for Technical Institute or College 1 in 2019-20."/>
    <n v="220853"/>
    <x v="10"/>
    <n v="0"/>
    <n v="0"/>
    <m/>
    <m/>
    <m/>
    <m/>
    <m/>
    <m/>
    <m/>
    <m/>
    <m/>
    <m/>
    <m/>
    <m/>
    <n v="0"/>
    <n v="0"/>
    <m/>
    <m/>
    <m/>
    <m/>
    <m/>
    <m/>
    <m/>
    <m/>
    <m/>
    <m/>
    <m/>
    <m/>
  </r>
  <r>
    <x v="12"/>
    <s v="Tennessee College of Applied Technology at Morristown"/>
    <m/>
    <n v="221050"/>
    <x v="10"/>
    <n v="0"/>
    <n v="0"/>
    <m/>
    <m/>
    <m/>
    <m/>
    <m/>
    <m/>
    <m/>
    <m/>
    <m/>
    <m/>
    <m/>
    <m/>
    <n v="0"/>
    <n v="0"/>
    <m/>
    <m/>
    <m/>
    <m/>
    <m/>
    <m/>
    <m/>
    <m/>
    <m/>
    <m/>
    <m/>
    <m/>
  </r>
  <r>
    <x v="12"/>
    <s v="Tennessee College of Applied Technology at Murfreesboro"/>
    <m/>
    <n v="221102"/>
    <x v="10"/>
    <n v="0"/>
    <n v="0"/>
    <m/>
    <m/>
    <m/>
    <m/>
    <m/>
    <m/>
    <m/>
    <m/>
    <m/>
    <m/>
    <m/>
    <m/>
    <n v="0"/>
    <n v="0"/>
    <m/>
    <m/>
    <m/>
    <m/>
    <m/>
    <m/>
    <m/>
    <m/>
    <m/>
    <m/>
    <m/>
    <m/>
  </r>
  <r>
    <x v="12"/>
    <s v="Tennessee College of Applied Technology at Nashville"/>
    <m/>
    <n v="248925"/>
    <x v="10"/>
    <n v="0"/>
    <n v="0"/>
    <m/>
    <m/>
    <m/>
    <m/>
    <m/>
    <m/>
    <m/>
    <m/>
    <m/>
    <m/>
    <m/>
    <m/>
    <n v="0"/>
    <n v="0"/>
    <m/>
    <m/>
    <m/>
    <m/>
    <m/>
    <m/>
    <m/>
    <m/>
    <m/>
    <m/>
    <m/>
    <m/>
  </r>
  <r>
    <x v="12"/>
    <s v="Tennessee College of Applied Technology at Newbern"/>
    <m/>
    <n v="221236"/>
    <x v="10"/>
    <n v="0"/>
    <n v="0"/>
    <m/>
    <m/>
    <m/>
    <m/>
    <m/>
    <m/>
    <m/>
    <m/>
    <m/>
    <m/>
    <m/>
    <m/>
    <n v="0"/>
    <n v="0"/>
    <m/>
    <m/>
    <m/>
    <m/>
    <m/>
    <m/>
    <m/>
    <m/>
    <m/>
    <m/>
    <m/>
    <m/>
  </r>
  <r>
    <x v="12"/>
    <s v="Tennessee College of Applied Technology at Oneida"/>
    <m/>
    <n v="221582"/>
    <x v="10"/>
    <n v="0"/>
    <n v="0"/>
    <m/>
    <m/>
    <m/>
    <m/>
    <m/>
    <m/>
    <m/>
    <m/>
    <m/>
    <m/>
    <m/>
    <m/>
    <n v="0"/>
    <n v="0"/>
    <m/>
    <m/>
    <m/>
    <m/>
    <m/>
    <m/>
    <m/>
    <m/>
    <m/>
    <m/>
    <m/>
    <m/>
  </r>
  <r>
    <x v="12"/>
    <s v="Tennessee College of Applied Technology at Paris"/>
    <m/>
    <n v="221281"/>
    <x v="10"/>
    <n v="0"/>
    <n v="0"/>
    <m/>
    <m/>
    <m/>
    <m/>
    <m/>
    <m/>
    <m/>
    <m/>
    <m/>
    <m/>
    <m/>
    <m/>
    <n v="0"/>
    <n v="0"/>
    <m/>
    <m/>
    <m/>
    <m/>
    <m/>
    <m/>
    <m/>
    <m/>
    <m/>
    <m/>
    <m/>
    <m/>
  </r>
  <r>
    <x v="12"/>
    <s v="Tennessee College of Applied Technology at Pulaski"/>
    <m/>
    <n v="221333"/>
    <x v="10"/>
    <n v="0"/>
    <n v="0"/>
    <m/>
    <m/>
    <m/>
    <m/>
    <m/>
    <m/>
    <m/>
    <m/>
    <m/>
    <m/>
    <m/>
    <m/>
    <n v="0"/>
    <n v="0"/>
    <m/>
    <m/>
    <m/>
    <m/>
    <m/>
    <m/>
    <m/>
    <m/>
    <m/>
    <m/>
    <m/>
    <m/>
  </r>
  <r>
    <x v="12"/>
    <s v="Tennessee College of Applied Technology at Ripley"/>
    <m/>
    <n v="221388"/>
    <x v="10"/>
    <n v="0"/>
    <n v="0"/>
    <m/>
    <m/>
    <m/>
    <m/>
    <m/>
    <m/>
    <m/>
    <m/>
    <m/>
    <m/>
    <m/>
    <m/>
    <n v="0"/>
    <n v="0"/>
    <m/>
    <m/>
    <m/>
    <m/>
    <m/>
    <m/>
    <m/>
    <m/>
    <m/>
    <m/>
    <m/>
    <m/>
  </r>
  <r>
    <x v="12"/>
    <s v="Tennessee College of Applied Technology at Shelbyville"/>
    <m/>
    <n v="221494"/>
    <x v="10"/>
    <n v="0"/>
    <n v="0"/>
    <m/>
    <m/>
    <m/>
    <m/>
    <m/>
    <m/>
    <m/>
    <m/>
    <m/>
    <m/>
    <m/>
    <m/>
    <n v="0"/>
    <n v="0"/>
    <m/>
    <m/>
    <m/>
    <m/>
    <m/>
    <m/>
    <m/>
    <m/>
    <m/>
    <m/>
    <m/>
    <m/>
  </r>
  <r>
    <x v="12"/>
    <s v="Tennessee College of Applied Technology at Whiteville"/>
    <m/>
    <n v="221634"/>
    <x v="10"/>
    <n v="0"/>
    <n v="0"/>
    <m/>
    <m/>
    <m/>
    <m/>
    <m/>
    <m/>
    <m/>
    <m/>
    <m/>
    <m/>
    <m/>
    <m/>
    <n v="0"/>
    <n v="0"/>
    <m/>
    <m/>
    <m/>
    <m/>
    <m/>
    <m/>
    <m/>
    <m/>
    <m/>
    <m/>
    <m/>
    <m/>
  </r>
  <r>
    <x v="13"/>
    <m/>
    <m/>
    <m/>
    <x v="12"/>
    <m/>
    <m/>
    <m/>
    <m/>
    <m/>
    <m/>
    <m/>
    <m/>
    <m/>
    <m/>
    <m/>
    <m/>
    <m/>
    <m/>
    <m/>
    <m/>
    <m/>
    <m/>
    <m/>
    <m/>
    <m/>
    <m/>
    <m/>
    <m/>
    <m/>
    <m/>
    <m/>
    <m/>
  </r>
  <r>
    <x v="14"/>
    <s v="George Mason University "/>
    <m/>
    <n v="232186"/>
    <x v="0"/>
    <n v="725722.5"/>
    <n v="746601.5"/>
    <n v="611251.5"/>
    <n v="623229.5"/>
    <n v="16432"/>
    <n v="18049"/>
    <n v="93407"/>
    <n v="4632"/>
    <n v="0"/>
    <n v="101225"/>
    <n v="4098"/>
    <n v="0"/>
    <m/>
    <m/>
    <n v="168370.5"/>
    <n v="170295"/>
    <n v="125528.5"/>
    <n v="121582"/>
    <n v="11118.5"/>
    <n v="12409.5"/>
    <n v="25520"/>
    <n v="6203.5"/>
    <n v="0"/>
    <n v="30324.5"/>
    <n v="5979"/>
    <n v="0"/>
    <m/>
    <m/>
  </r>
  <r>
    <x v="14"/>
    <s v="Old Dominion University "/>
    <m/>
    <n v="232982"/>
    <x v="0"/>
    <n v="506785"/>
    <n v="500907"/>
    <n v="358145"/>
    <n v="344197"/>
    <n v="158"/>
    <n v="232"/>
    <n v="127598"/>
    <n v="20816"/>
    <n v="68"/>
    <n v="137658"/>
    <n v="18770"/>
    <n v="50"/>
    <m/>
    <m/>
    <n v="68417"/>
    <n v="66439"/>
    <n v="33793"/>
    <n v="31487"/>
    <n v="322"/>
    <n v="216"/>
    <n v="22370"/>
    <n v="10392"/>
    <n v="1540"/>
    <n v="22309"/>
    <n v="10566"/>
    <n v="1861"/>
    <m/>
    <m/>
  </r>
  <r>
    <x v="14"/>
    <s v="University of Virginia"/>
    <m/>
    <n v="234076"/>
    <x v="0"/>
    <n v="497384"/>
    <n v="507366.5"/>
    <n v="471212.5"/>
    <n v="476247"/>
    <n v="16654.5"/>
    <n v="19753.5"/>
    <n v="9061"/>
    <n v="456"/>
    <n v="0"/>
    <n v="10734"/>
    <n v="632"/>
    <n v="0"/>
    <m/>
    <m/>
    <n v="194776"/>
    <n v="199952"/>
    <n v="169112.5"/>
    <n v="172774"/>
    <n v="13129.5"/>
    <n v="12878.5"/>
    <n v="10753"/>
    <n v="1781"/>
    <n v="0"/>
    <n v="11539"/>
    <n v="2760.5"/>
    <n v="0"/>
    <m/>
    <m/>
  </r>
  <r>
    <x v="14"/>
    <s v="Virginia Commonwealth University"/>
    <m/>
    <n v="234030"/>
    <x v="0"/>
    <n v="644945.5"/>
    <n v="631886"/>
    <n v="573032"/>
    <n v="556033"/>
    <n v="7773"/>
    <n v="7692"/>
    <n v="62562.5"/>
    <n v="1578"/>
    <n v="0"/>
    <n v="67344"/>
    <n v="817"/>
    <n v="0"/>
    <m/>
    <m/>
    <n v="133045.5"/>
    <n v="132305"/>
    <n v="114369.5"/>
    <n v="112489"/>
    <n v="4092"/>
    <n v="3343"/>
    <n v="14084"/>
    <n v="500"/>
    <n v="0"/>
    <n v="16071"/>
    <n v="402"/>
    <n v="0"/>
    <m/>
    <m/>
  </r>
  <r>
    <x v="14"/>
    <s v="Virginia Tech "/>
    <m/>
    <n v="233921"/>
    <x v="0"/>
    <n v="855575"/>
    <n v="888575"/>
    <n v="830986"/>
    <n v="861814"/>
    <n v="295"/>
    <n v="184"/>
    <n v="22982"/>
    <n v="1312"/>
    <n v="0"/>
    <n v="25306"/>
    <n v="1271"/>
    <n v="0"/>
    <m/>
    <m/>
    <n v="145354"/>
    <n v="145332"/>
    <n v="111242"/>
    <n v="108192"/>
    <n v="18145"/>
    <n v="18389"/>
    <n v="12177"/>
    <n v="3790"/>
    <n v="0"/>
    <n v="12734"/>
    <n v="6017"/>
    <n v="0"/>
    <m/>
    <m/>
  </r>
  <r>
    <x v="14"/>
    <s v="College of William &amp; Mary"/>
    <m/>
    <n v="231624"/>
    <x v="1"/>
    <n v="186440.5"/>
    <n v="184143.5"/>
    <n v="181070.5"/>
    <n v="177776.5"/>
    <n v="4630"/>
    <n v="5239"/>
    <n v="720"/>
    <n v="20"/>
    <n v="0"/>
    <n v="1128"/>
    <n v="0"/>
    <n v="0"/>
    <m/>
    <m/>
    <n v="61312.5"/>
    <n v="59874"/>
    <n v="48944"/>
    <n v="45856.5"/>
    <n v="4751.5"/>
    <n v="4544"/>
    <n v="7587"/>
    <n v="30"/>
    <n v="0"/>
    <n v="9473.5"/>
    <n v="0"/>
    <n v="0"/>
    <m/>
    <m/>
  </r>
  <r>
    <x v="14"/>
    <s v="James Madison University"/>
    <m/>
    <n v="232423"/>
    <x v="2"/>
    <n v="592536"/>
    <n v="591489"/>
    <n v="548934"/>
    <n v="546836"/>
    <n v="12348"/>
    <n v="11744"/>
    <n v="30996"/>
    <n v="258"/>
    <n v="0"/>
    <n v="32909"/>
    <n v="0"/>
    <n v="0"/>
    <m/>
    <m/>
    <n v="35833"/>
    <n v="35661"/>
    <n v="25141"/>
    <n v="24609"/>
    <n v="2846"/>
    <n v="2730"/>
    <n v="7846"/>
    <n v="0"/>
    <n v="0"/>
    <n v="8322"/>
    <n v="0"/>
    <n v="0"/>
    <m/>
    <m/>
  </r>
  <r>
    <x v="14"/>
    <s v="Longwood University "/>
    <s v="Met the criteria for Four-Year 5 in 2018-19 and 2019-20."/>
    <n v="232566"/>
    <x v="2"/>
    <n v="124140"/>
    <n v="115258"/>
    <n v="108948"/>
    <n v="103717"/>
    <n v="2644"/>
    <n v="1149"/>
    <n v="12548"/>
    <n v="0"/>
    <n v="0"/>
    <n v="10392"/>
    <n v="0"/>
    <n v="0"/>
    <m/>
    <m/>
    <n v="10679"/>
    <n v="11102"/>
    <n v="3719"/>
    <n v="3038"/>
    <n v="3202"/>
    <n v="2920"/>
    <n v="3680"/>
    <n v="78"/>
    <n v="0"/>
    <n v="5036"/>
    <n v="108"/>
    <n v="0"/>
    <m/>
    <m/>
  </r>
  <r>
    <x v="14"/>
    <s v="Norfolk State University "/>
    <s v="Met the criteria for Four-Year 4 in 2018-19 and 2019-20."/>
    <n v="232937"/>
    <x v="2"/>
    <n v="127882"/>
    <n v="137498"/>
    <n v="99672"/>
    <n v="105274"/>
    <n v="313"/>
    <n v="207"/>
    <n v="27897"/>
    <n v="0"/>
    <n v="0"/>
    <n v="32017"/>
    <n v="0"/>
    <n v="0"/>
    <m/>
    <m/>
    <n v="10883"/>
    <n v="9544"/>
    <n v="8396"/>
    <n v="7423"/>
    <n v="12"/>
    <n v="9"/>
    <n v="2475"/>
    <n v="0"/>
    <n v="0"/>
    <n v="2112"/>
    <n v="0"/>
    <n v="0"/>
    <m/>
    <m/>
  </r>
  <r>
    <x v="14"/>
    <s v="Radford University"/>
    <m/>
    <n v="233277"/>
    <x v="2"/>
    <n v="237754.7"/>
    <n v="232688.7"/>
    <n v="204927"/>
    <n v="190703"/>
    <n v="3936.7"/>
    <n v="10738.7"/>
    <n v="28310"/>
    <n v="581"/>
    <n v="0"/>
    <n v="30619"/>
    <n v="628"/>
    <n v="0"/>
    <m/>
    <m/>
    <n v="21771"/>
    <n v="30177"/>
    <n v="10609"/>
    <n v="10267"/>
    <n v="4594"/>
    <n v="6989"/>
    <n v="4521"/>
    <n v="2047"/>
    <n v="0"/>
    <n v="10552"/>
    <n v="2369"/>
    <n v="0"/>
    <m/>
    <m/>
  </r>
  <r>
    <x v="14"/>
    <s v="University of Mary Washington "/>
    <s v="Met the criteria for Four-Year 5 in 2018-19 and 2019-20."/>
    <n v="232681"/>
    <x v="2"/>
    <n v="122842"/>
    <n v="117503.2"/>
    <n v="113852"/>
    <n v="108363"/>
    <n v="0"/>
    <n v="0"/>
    <n v="8842"/>
    <n v="148"/>
    <n v="0"/>
    <n v="9128.2000000000007"/>
    <n v="12"/>
    <n v="0"/>
    <m/>
    <m/>
    <n v="5422.4"/>
    <n v="5153"/>
    <n v="3174.4"/>
    <n v="3081.4"/>
    <n v="0"/>
    <n v="0"/>
    <n v="2248"/>
    <n v="0"/>
    <n v="0"/>
    <n v="2071.6"/>
    <n v="0"/>
    <n v="0"/>
    <m/>
    <m/>
  </r>
  <r>
    <x v="14"/>
    <s v="Virginia State University "/>
    <m/>
    <n v="234155"/>
    <x v="2"/>
    <n v="122711"/>
    <n v="120110"/>
    <n v="106760"/>
    <n v="104696"/>
    <n v="297"/>
    <n v="159"/>
    <n v="15654"/>
    <n v="0"/>
    <n v="0"/>
    <n v="15255"/>
    <n v="0"/>
    <n v="0"/>
    <m/>
    <m/>
    <n v="6123"/>
    <n v="5840"/>
    <n v="5493"/>
    <n v="5222"/>
    <n v="0"/>
    <n v="0"/>
    <n v="630"/>
    <n v="0"/>
    <n v="0"/>
    <n v="618"/>
    <n v="0"/>
    <n v="0"/>
    <m/>
    <m/>
  </r>
  <r>
    <x v="14"/>
    <s v="Christopher Newport University"/>
    <m/>
    <n v="231712"/>
    <x v="4"/>
    <n v="141653"/>
    <n v="139911"/>
    <n v="141111"/>
    <n v="139118"/>
    <n v="542"/>
    <n v="679"/>
    <n v="0"/>
    <n v="0"/>
    <n v="0"/>
    <n v="114"/>
    <n v="0"/>
    <n v="0"/>
    <m/>
    <m/>
    <n v="3022"/>
    <n v="2591"/>
    <n v="2980"/>
    <n v="2591"/>
    <n v="42"/>
    <n v="0"/>
    <m/>
    <m/>
    <m/>
    <m/>
    <m/>
    <m/>
    <m/>
    <m/>
  </r>
  <r>
    <x v="14"/>
    <s v="University of Virginia's College at Wise "/>
    <m/>
    <n v="233897"/>
    <x v="5"/>
    <n v="46337"/>
    <n v="45800"/>
    <n v="34821"/>
    <n v="34343"/>
    <n v="0"/>
    <n v="0"/>
    <n v="11516"/>
    <n v="0"/>
    <n v="0"/>
    <n v="11457"/>
    <n v="0"/>
    <n v="0"/>
    <m/>
    <m/>
    <n v="0"/>
    <n v="0"/>
    <m/>
    <m/>
    <m/>
    <m/>
    <m/>
    <m/>
    <m/>
    <m/>
    <m/>
    <m/>
    <m/>
    <m/>
  </r>
  <r>
    <x v="14"/>
    <s v="J.S. Reynolds Community College"/>
    <m/>
    <n v="232414"/>
    <x v="6"/>
    <n v="168782"/>
    <n v="164046"/>
    <n v="92423"/>
    <n v="81613"/>
    <n v="13808"/>
    <n v="14993"/>
    <n v="62479"/>
    <n v="72"/>
    <n v="0"/>
    <n v="67383"/>
    <n v="57"/>
    <n v="0"/>
    <m/>
    <m/>
    <n v="0"/>
    <n v="0"/>
    <m/>
    <m/>
    <m/>
    <m/>
    <m/>
    <m/>
    <m/>
    <m/>
    <m/>
    <m/>
    <m/>
    <m/>
  </r>
  <r>
    <x v="14"/>
    <s v="John Tyler Community College"/>
    <m/>
    <n v="232450"/>
    <x v="6"/>
    <n v="164153"/>
    <n v="165336"/>
    <n v="84765"/>
    <n v="83788"/>
    <n v="26618"/>
    <n v="25633"/>
    <n v="52670"/>
    <n v="100"/>
    <n v="0"/>
    <n v="55915"/>
    <n v="0"/>
    <n v="0"/>
    <m/>
    <m/>
    <n v="0"/>
    <n v="0"/>
    <m/>
    <m/>
    <m/>
    <m/>
    <m/>
    <m/>
    <m/>
    <m/>
    <m/>
    <m/>
    <m/>
    <m/>
  </r>
  <r>
    <x v="14"/>
    <s v="Northern Virginia Community College "/>
    <m/>
    <n v="232946"/>
    <x v="6"/>
    <n v="951259"/>
    <n v="942305"/>
    <n v="628164"/>
    <n v="627431"/>
    <n v="97572"/>
    <n v="120777"/>
    <n v="225169"/>
    <n v="354"/>
    <n v="0"/>
    <n v="193683"/>
    <n v="414"/>
    <n v="0"/>
    <m/>
    <m/>
    <n v="0"/>
    <n v="0"/>
    <m/>
    <m/>
    <m/>
    <m/>
    <m/>
    <m/>
    <m/>
    <m/>
    <m/>
    <m/>
    <m/>
    <m/>
  </r>
  <r>
    <x v="14"/>
    <s v="Thomas Nelson Community College "/>
    <s v="Met the criteria for Two-Year 2 in 2019-20."/>
    <n v="233754"/>
    <x v="6"/>
    <n v="150814"/>
    <n v="144941"/>
    <n v="82502"/>
    <n v="73789"/>
    <n v="14295"/>
    <n v="15057"/>
    <n v="53819"/>
    <n v="198"/>
    <n v="0"/>
    <n v="56020"/>
    <n v="75"/>
    <n v="0"/>
    <m/>
    <m/>
    <n v="0"/>
    <n v="0"/>
    <m/>
    <m/>
    <m/>
    <m/>
    <m/>
    <m/>
    <m/>
    <m/>
    <m/>
    <m/>
    <m/>
    <m/>
  </r>
  <r>
    <x v="14"/>
    <s v="Tidewater Community College "/>
    <m/>
    <n v="233772"/>
    <x v="6"/>
    <n v="430782"/>
    <n v="403321"/>
    <n v="256638"/>
    <n v="232146"/>
    <n v="29329"/>
    <n v="27452"/>
    <n v="144740"/>
    <n v="75"/>
    <n v="0"/>
    <n v="143638"/>
    <n v="85"/>
    <n v="0"/>
    <m/>
    <m/>
    <n v="0"/>
    <n v="0"/>
    <m/>
    <m/>
    <m/>
    <m/>
    <m/>
    <m/>
    <m/>
    <m/>
    <m/>
    <m/>
    <m/>
    <m/>
  </r>
  <r>
    <x v="14"/>
    <s v="Blue Ridge Community College "/>
    <m/>
    <n v="231536"/>
    <x v="7"/>
    <n v="71838"/>
    <n v="68933"/>
    <n v="34159"/>
    <n v="31831"/>
    <n v="8975"/>
    <n v="8154"/>
    <n v="28704"/>
    <n v="0"/>
    <n v="0"/>
    <n v="28948"/>
    <n v="0"/>
    <n v="0"/>
    <m/>
    <m/>
    <n v="0"/>
    <n v="0"/>
    <m/>
    <m/>
    <m/>
    <m/>
    <m/>
    <m/>
    <m/>
    <m/>
    <m/>
    <m/>
    <m/>
    <m/>
  </r>
  <r>
    <x v="14"/>
    <s v="Central Virginia Community College "/>
    <m/>
    <n v="231697"/>
    <x v="7"/>
    <n v="72190"/>
    <n v="69284"/>
    <n v="37088"/>
    <n v="34425"/>
    <n v="14862"/>
    <n v="15203"/>
    <n v="16476"/>
    <n v="3764"/>
    <n v="0"/>
    <n v="16438"/>
    <n v="3218"/>
    <n v="0"/>
    <m/>
    <m/>
    <n v="0"/>
    <n v="0"/>
    <m/>
    <m/>
    <m/>
    <m/>
    <m/>
    <m/>
    <m/>
    <m/>
    <m/>
    <m/>
    <m/>
    <m/>
  </r>
  <r>
    <x v="14"/>
    <s v="Germanna Community College"/>
    <m/>
    <n v="232195"/>
    <x v="7"/>
    <n v="125951"/>
    <n v="131140"/>
    <n v="61197"/>
    <n v="56869"/>
    <n v="17743"/>
    <n v="22055"/>
    <n v="33914"/>
    <n v="13097"/>
    <n v="0"/>
    <n v="37522"/>
    <n v="14694"/>
    <n v="0"/>
    <m/>
    <m/>
    <n v="0"/>
    <n v="0"/>
    <m/>
    <m/>
    <m/>
    <m/>
    <m/>
    <m/>
    <m/>
    <m/>
    <m/>
    <m/>
    <m/>
    <m/>
  </r>
  <r>
    <x v="14"/>
    <s v="Lord Fairfax Community College"/>
    <m/>
    <n v="232575"/>
    <x v="7"/>
    <n v="119684"/>
    <n v="118340"/>
    <n v="40481"/>
    <n v="36478"/>
    <n v="33538"/>
    <n v="33633"/>
    <n v="34937"/>
    <n v="10728"/>
    <n v="0"/>
    <n v="36443"/>
    <n v="11786"/>
    <n v="0"/>
    <m/>
    <m/>
    <n v="0"/>
    <n v="0"/>
    <m/>
    <m/>
    <m/>
    <m/>
    <m/>
    <m/>
    <m/>
    <m/>
    <m/>
    <m/>
    <m/>
    <m/>
  </r>
  <r>
    <x v="14"/>
    <s v="New River Community College "/>
    <m/>
    <n v="232867"/>
    <x v="7"/>
    <n v="82454"/>
    <n v="78876"/>
    <n v="18747"/>
    <n v="17397"/>
    <n v="34371"/>
    <n v="31689"/>
    <n v="28293"/>
    <n v="1043"/>
    <n v="0"/>
    <n v="29017"/>
    <n v="773"/>
    <n v="0"/>
    <m/>
    <m/>
    <n v="0"/>
    <n v="0"/>
    <m/>
    <m/>
    <m/>
    <m/>
    <m/>
    <m/>
    <m/>
    <m/>
    <m/>
    <m/>
    <m/>
    <m/>
  </r>
  <r>
    <x v="14"/>
    <s v="Piedmont Virginia Community College "/>
    <m/>
    <n v="233116"/>
    <x v="7"/>
    <n v="87230"/>
    <n v="83467"/>
    <n v="48202"/>
    <n v="43393"/>
    <n v="19064"/>
    <n v="18474"/>
    <n v="19008"/>
    <n v="956"/>
    <n v="0"/>
    <n v="19787"/>
    <n v="1813"/>
    <n v="0"/>
    <m/>
    <m/>
    <n v="0"/>
    <n v="0"/>
    <m/>
    <m/>
    <m/>
    <m/>
    <m/>
    <m/>
    <m/>
    <m/>
    <m/>
    <m/>
    <m/>
    <m/>
  </r>
  <r>
    <x v="14"/>
    <s v="Southside Virginia Community College"/>
    <s v="Met the criteria for Two-Year 3 in 2019-20."/>
    <n v="233639"/>
    <x v="7"/>
    <n v="62774"/>
    <n v="59341"/>
    <n v="14222"/>
    <n v="12345"/>
    <n v="27583"/>
    <n v="26066"/>
    <n v="19519"/>
    <n v="1450"/>
    <n v="0"/>
    <n v="17907"/>
    <n v="3023"/>
    <n v="0"/>
    <m/>
    <m/>
    <n v="0"/>
    <n v="0"/>
    <m/>
    <m/>
    <m/>
    <m/>
    <m/>
    <m/>
    <m/>
    <m/>
    <m/>
    <m/>
    <m/>
    <m/>
  </r>
  <r>
    <x v="14"/>
    <s v="Virginia Western Community College "/>
    <m/>
    <n v="233949"/>
    <x v="7"/>
    <n v="114617"/>
    <n v="108663"/>
    <n v="59489"/>
    <n v="54096"/>
    <n v="24210"/>
    <n v="21139"/>
    <n v="23317"/>
    <n v="7601"/>
    <n v="0"/>
    <n v="25261"/>
    <n v="8167"/>
    <n v="0"/>
    <m/>
    <m/>
    <n v="0"/>
    <n v="0"/>
    <m/>
    <m/>
    <m/>
    <m/>
    <m/>
    <m/>
    <m/>
    <m/>
    <m/>
    <m/>
    <m/>
    <m/>
  </r>
  <r>
    <x v="14"/>
    <s v="D.S. Lancaster Community College "/>
    <m/>
    <n v="231873"/>
    <x v="8"/>
    <n v="19299"/>
    <n v="17842"/>
    <n v="8127"/>
    <n v="7796"/>
    <n v="4517"/>
    <n v="4452"/>
    <n v="4620"/>
    <n v="2035"/>
    <n v="0"/>
    <n v="4054"/>
    <n v="1540"/>
    <n v="0"/>
    <m/>
    <m/>
    <n v="0"/>
    <n v="0"/>
    <m/>
    <m/>
    <m/>
    <m/>
    <m/>
    <m/>
    <m/>
    <m/>
    <m/>
    <m/>
    <m/>
    <m/>
  </r>
  <r>
    <x v="14"/>
    <s v="Danville Community College "/>
    <m/>
    <n v="231882"/>
    <x v="8"/>
    <n v="52844"/>
    <n v="53919"/>
    <n v="25954"/>
    <n v="28672"/>
    <n v="18128"/>
    <n v="15567"/>
    <n v="8013"/>
    <n v="749"/>
    <n v="0"/>
    <n v="8268"/>
    <n v="1412"/>
    <n v="0"/>
    <m/>
    <m/>
    <n v="0"/>
    <n v="0"/>
    <m/>
    <m/>
    <m/>
    <m/>
    <m/>
    <m/>
    <m/>
    <m/>
    <m/>
    <m/>
    <m/>
    <m/>
  </r>
  <r>
    <x v="14"/>
    <s v="Eastern Shore Community College"/>
    <m/>
    <n v="232052"/>
    <x v="8"/>
    <n v="10868"/>
    <n v="10399"/>
    <n v="6750"/>
    <n v="6162"/>
    <n v="2555"/>
    <n v="2537"/>
    <n v="1563"/>
    <n v="0"/>
    <n v="0"/>
    <n v="1700"/>
    <n v="0"/>
    <n v="0"/>
    <m/>
    <m/>
    <n v="0"/>
    <n v="0"/>
    <m/>
    <m/>
    <m/>
    <m/>
    <m/>
    <m/>
    <m/>
    <m/>
    <m/>
    <m/>
    <m/>
    <m/>
  </r>
  <r>
    <x v="14"/>
    <s v="Mountain Empire Community College"/>
    <m/>
    <n v="232788"/>
    <x v="8"/>
    <n v="46652"/>
    <n v="46948"/>
    <n v="19234"/>
    <n v="18852"/>
    <n v="8103"/>
    <n v="7015"/>
    <n v="16965"/>
    <n v="2350"/>
    <n v="0"/>
    <n v="18888"/>
    <n v="2193"/>
    <n v="0"/>
    <m/>
    <m/>
    <n v="0"/>
    <n v="0"/>
    <m/>
    <m/>
    <m/>
    <m/>
    <m/>
    <m/>
    <m/>
    <m/>
    <m/>
    <m/>
    <m/>
    <m/>
  </r>
  <r>
    <x v="14"/>
    <s v="Patrick Henry Community College "/>
    <m/>
    <n v="233019"/>
    <x v="8"/>
    <n v="49783"/>
    <n v="50486"/>
    <n v="20291"/>
    <n v="21521"/>
    <n v="7399"/>
    <n v="7299"/>
    <n v="19105"/>
    <n v="2988"/>
    <n v="0"/>
    <n v="19741"/>
    <n v="1925"/>
    <n v="0"/>
    <m/>
    <m/>
    <n v="0"/>
    <n v="0"/>
    <m/>
    <m/>
    <m/>
    <m/>
    <m/>
    <m/>
    <m/>
    <m/>
    <m/>
    <m/>
    <m/>
    <m/>
  </r>
  <r>
    <x v="14"/>
    <s v="Paul D. Camp Community College"/>
    <m/>
    <n v="233037"/>
    <x v="8"/>
    <n v="23420"/>
    <n v="23403"/>
    <n v="6843"/>
    <n v="5374"/>
    <n v="5509"/>
    <n v="5201"/>
    <n v="10021"/>
    <n v="1047"/>
    <n v="0"/>
    <n v="11669"/>
    <n v="1159"/>
    <n v="0"/>
    <m/>
    <m/>
    <n v="0"/>
    <n v="0"/>
    <m/>
    <m/>
    <m/>
    <m/>
    <m/>
    <m/>
    <m/>
    <m/>
    <m/>
    <m/>
    <m/>
    <m/>
  </r>
  <r>
    <x v="14"/>
    <s v="Rappahannock Community College"/>
    <m/>
    <n v="233310"/>
    <x v="8"/>
    <n v="53839"/>
    <n v="50806"/>
    <n v="11078"/>
    <n v="9697"/>
    <n v="17960"/>
    <n v="16478"/>
    <n v="15159"/>
    <n v="9642"/>
    <n v="0"/>
    <n v="15190"/>
    <n v="9441"/>
    <n v="0"/>
    <m/>
    <m/>
    <n v="0"/>
    <n v="0"/>
    <m/>
    <m/>
    <m/>
    <m/>
    <m/>
    <m/>
    <m/>
    <m/>
    <m/>
    <m/>
    <m/>
    <m/>
  </r>
  <r>
    <x v="14"/>
    <s v="Richard Bland College "/>
    <m/>
    <n v="233338"/>
    <x v="8"/>
    <n v="37951"/>
    <n v="37879"/>
    <n v="20650"/>
    <n v="20787"/>
    <n v="12642"/>
    <n v="12065"/>
    <n v="4659"/>
    <n v="0"/>
    <n v="0"/>
    <n v="5027"/>
    <n v="0"/>
    <n v="0"/>
    <m/>
    <m/>
    <n v="0"/>
    <n v="0"/>
    <m/>
    <m/>
    <m/>
    <m/>
    <m/>
    <m/>
    <m/>
    <m/>
    <m/>
    <m/>
    <m/>
    <m/>
  </r>
  <r>
    <x v="14"/>
    <s v="Southwest Virginia Community College "/>
    <m/>
    <n v="233648"/>
    <x v="8"/>
    <n v="48367"/>
    <n v="47553"/>
    <n v="15397"/>
    <n v="14885"/>
    <n v="9153"/>
    <n v="8771"/>
    <n v="20499"/>
    <n v="3318"/>
    <n v="0"/>
    <n v="21149"/>
    <n v="2748"/>
    <n v="0"/>
    <m/>
    <m/>
    <n v="0"/>
    <n v="0"/>
    <m/>
    <m/>
    <m/>
    <m/>
    <m/>
    <m/>
    <m/>
    <m/>
    <m/>
    <m/>
    <m/>
    <m/>
  </r>
  <r>
    <x v="14"/>
    <s v="Virginia Highlands Community College "/>
    <m/>
    <n v="233903"/>
    <x v="8"/>
    <n v="43785"/>
    <n v="43893"/>
    <n v="16768"/>
    <n v="17050"/>
    <n v="8530"/>
    <n v="7779"/>
    <n v="16584"/>
    <n v="1903"/>
    <n v="0"/>
    <n v="17066"/>
    <n v="1998"/>
    <n v="0"/>
    <m/>
    <m/>
    <n v="0"/>
    <n v="0"/>
    <m/>
    <m/>
    <m/>
    <m/>
    <m/>
    <m/>
    <m/>
    <m/>
    <m/>
    <m/>
    <m/>
    <m/>
  </r>
  <r>
    <x v="14"/>
    <s v="Wytheville Community College "/>
    <m/>
    <n v="234377"/>
    <x v="8"/>
    <n v="48184"/>
    <n v="46714"/>
    <n v="7071"/>
    <n v="7284"/>
    <n v="14536"/>
    <n v="13441"/>
    <n v="20891"/>
    <n v="5686"/>
    <n v="0"/>
    <n v="22090"/>
    <n v="3899"/>
    <n v="0"/>
    <m/>
    <m/>
    <n v="0"/>
    <n v="0"/>
    <m/>
    <m/>
    <m/>
    <m/>
    <m/>
    <m/>
    <m/>
    <m/>
    <m/>
    <m/>
    <m/>
    <m/>
  </r>
  <r>
    <x v="15"/>
    <s v="West Virginia University"/>
    <m/>
    <n v="238032"/>
    <x v="0"/>
    <n v="625795"/>
    <n v="610650"/>
    <n v="549400"/>
    <n v="524686"/>
    <n v="3326"/>
    <n v="5406"/>
    <n v="70687"/>
    <m/>
    <n v="2382"/>
    <n v="78304"/>
    <n v="0"/>
    <n v="2254"/>
    <m/>
    <m/>
    <n v="86140"/>
    <n v="85974"/>
    <n v="58056"/>
    <n v="58465"/>
    <n v="3436"/>
    <n v="2027"/>
    <n v="24048"/>
    <m/>
    <n v="600"/>
    <n v="24969"/>
    <n v="48"/>
    <n v="465"/>
    <m/>
    <m/>
  </r>
  <r>
    <x v="15"/>
    <s v="Marshall University "/>
    <m/>
    <n v="237525"/>
    <x v="2"/>
    <n v="256593"/>
    <n v="246456"/>
    <n v="186088"/>
    <n v="174670"/>
    <n v="25065"/>
    <n v="24017"/>
    <n v="41763"/>
    <n v="3677"/>
    <m/>
    <n v="44014"/>
    <n v="3755"/>
    <m/>
    <m/>
    <m/>
    <n v="67756"/>
    <n v="64539"/>
    <n v="35104"/>
    <n v="31678"/>
    <n v="10880"/>
    <n v="11651"/>
    <n v="21047"/>
    <n v="725"/>
    <m/>
    <n v="20309"/>
    <n v="901"/>
    <m/>
    <m/>
    <m/>
  </r>
  <r>
    <x v="15"/>
    <s v="Concord University "/>
    <m/>
    <n v="237330"/>
    <x v="4"/>
    <n v="51204"/>
    <n v="46415"/>
    <n v="33786"/>
    <n v="30642"/>
    <n v="4350"/>
    <n v="3407"/>
    <n v="12063"/>
    <n v="1005"/>
    <m/>
    <n v="11004"/>
    <n v="1356"/>
    <n v="6"/>
    <m/>
    <m/>
    <n v="6120"/>
    <n v="6600"/>
    <n v="387"/>
    <n v="306"/>
    <m/>
    <m/>
    <n v="5733"/>
    <m/>
    <m/>
    <n v="6294"/>
    <m/>
    <m/>
    <m/>
    <m/>
  </r>
  <r>
    <x v="15"/>
    <s v="Fairmont State University"/>
    <m/>
    <n v="237367"/>
    <x v="4"/>
    <n v="99986"/>
    <n v="96814"/>
    <n v="75601"/>
    <n v="71061"/>
    <n v="1945"/>
    <n v="1189"/>
    <n v="22440"/>
    <m/>
    <m/>
    <n v="24564"/>
    <n v="0"/>
    <m/>
    <m/>
    <m/>
    <n v="4142"/>
    <n v="3623"/>
    <n v="1170"/>
    <n v="796"/>
    <m/>
    <n v="3"/>
    <n v="2972"/>
    <m/>
    <m/>
    <n v="2824"/>
    <m/>
    <m/>
    <m/>
    <m/>
  </r>
  <r>
    <x v="15"/>
    <s v="Shepherd University "/>
    <m/>
    <n v="237792"/>
    <x v="4"/>
    <n v="84143"/>
    <n v="80901"/>
    <n v="74856"/>
    <n v="69269"/>
    <n v="0"/>
    <n v="0"/>
    <n v="9287"/>
    <m/>
    <m/>
    <n v="11632"/>
    <n v="0"/>
    <m/>
    <m/>
    <m/>
    <n v="6246"/>
    <n v="6735"/>
    <n v="4960"/>
    <n v="5115"/>
    <m/>
    <m/>
    <n v="1274"/>
    <n v="12"/>
    <m/>
    <n v="1620"/>
    <m/>
    <m/>
    <m/>
    <m/>
  </r>
  <r>
    <x v="15"/>
    <s v="West Liberty University"/>
    <s v="Met the criteria for Four-Year 4 in 2019-20."/>
    <n v="237932"/>
    <x v="4"/>
    <n v="61815"/>
    <n v="61346"/>
    <n v="54298"/>
    <n v="52862"/>
    <n v="2373"/>
    <n v="2245"/>
    <n v="5144"/>
    <m/>
    <m/>
    <n v="6239"/>
    <n v="0"/>
    <m/>
    <m/>
    <m/>
    <n v="5790"/>
    <n v="6131"/>
    <n v="2568"/>
    <n v="2853"/>
    <n v="1224"/>
    <n v="789"/>
    <n v="1998"/>
    <m/>
    <m/>
    <n v="2489"/>
    <m/>
    <m/>
    <m/>
    <m/>
  </r>
  <r>
    <x v="15"/>
    <s v="Bluefield State College "/>
    <m/>
    <n v="237215"/>
    <x v="5"/>
    <n v="34315"/>
    <n v="32684"/>
    <n v="14628"/>
    <n v="13094"/>
    <n v="2754"/>
    <n v="3031"/>
    <n v="16103"/>
    <n v="830"/>
    <m/>
    <n v="16436"/>
    <n v="123"/>
    <m/>
    <m/>
    <m/>
    <n v="0"/>
    <n v="0"/>
    <m/>
    <m/>
    <m/>
    <m/>
    <m/>
    <m/>
    <m/>
    <m/>
    <m/>
    <m/>
    <m/>
    <m/>
  </r>
  <r>
    <x v="15"/>
    <s v="Glenville State College "/>
    <m/>
    <n v="237385"/>
    <x v="5"/>
    <n v="34874"/>
    <n v="35068"/>
    <n v="24503"/>
    <n v="21852"/>
    <n v="4681"/>
    <n v="6230"/>
    <n v="5690"/>
    <m/>
    <m/>
    <n v="6986"/>
    <n v="0"/>
    <m/>
    <m/>
    <m/>
    <n v="0"/>
    <n v="0"/>
    <m/>
    <m/>
    <m/>
    <m/>
    <m/>
    <m/>
    <m/>
    <m/>
    <m/>
    <m/>
    <m/>
    <m/>
  </r>
  <r>
    <x v="15"/>
    <s v="West Virginia State University "/>
    <s v="Met the criteria for Four-Year 4 in 2019-20."/>
    <n v="237899"/>
    <x v="5"/>
    <n v="68814"/>
    <n v="69562"/>
    <n v="34848"/>
    <n v="31093"/>
    <n v="14500"/>
    <n v="18617"/>
    <n v="19466"/>
    <m/>
    <m/>
    <n v="19852"/>
    <n v="0"/>
    <m/>
    <m/>
    <m/>
    <n v="2304"/>
    <n v="2419"/>
    <n v="1635"/>
    <n v="1789"/>
    <n v="3"/>
    <n v="3"/>
    <n v="666"/>
    <m/>
    <m/>
    <n v="627"/>
    <m/>
    <m/>
    <m/>
    <m/>
  </r>
  <r>
    <x v="15"/>
    <s v="West Virginia University Institute of Technology"/>
    <m/>
    <n v="237950"/>
    <x v="5"/>
    <n v="39491"/>
    <n v="40412"/>
    <n v="31605"/>
    <n v="31646"/>
    <n v="132"/>
    <n v="282"/>
    <n v="7754"/>
    <m/>
    <m/>
    <n v="8482"/>
    <n v="0"/>
    <n v="2"/>
    <m/>
    <m/>
    <n v="0"/>
    <n v="0"/>
    <m/>
    <m/>
    <m/>
    <m/>
    <m/>
    <m/>
    <m/>
    <m/>
    <m/>
    <m/>
    <m/>
    <m/>
  </r>
  <r>
    <x v="15"/>
    <s v="Potomac State College of West Virginia University"/>
    <m/>
    <n v="237701"/>
    <x v="13"/>
    <n v="33294"/>
    <n v="32548"/>
    <n v="27656"/>
    <n v="26067"/>
    <n v="1878"/>
    <n v="2063"/>
    <n v="3758"/>
    <m/>
    <n v="2"/>
    <n v="4402"/>
    <n v="0"/>
    <n v="16"/>
    <m/>
    <m/>
    <n v="0"/>
    <n v="0"/>
    <m/>
    <m/>
    <m/>
    <m/>
    <m/>
    <m/>
    <m/>
    <m/>
    <m/>
    <m/>
    <m/>
    <m/>
  </r>
  <r>
    <x v="15"/>
    <s v="West Virginia University at Parkersburg"/>
    <m/>
    <n v="237686"/>
    <x v="13"/>
    <n v="53842"/>
    <n v="53924"/>
    <n v="25873"/>
    <n v="22376"/>
    <n v="4021"/>
    <n v="4162"/>
    <n v="23948"/>
    <m/>
    <m/>
    <n v="27386"/>
    <n v="0"/>
    <m/>
    <m/>
    <m/>
    <n v="0"/>
    <n v="0"/>
    <m/>
    <m/>
    <m/>
    <m/>
    <m/>
    <m/>
    <m/>
    <m/>
    <m/>
    <m/>
    <m/>
    <m/>
  </r>
  <r>
    <x v="15"/>
    <s v="Blue Ridge Community &amp; Technical College"/>
    <s v="Reclassified: Met the criteria for Two-Year 2 in 2017-18, 2018-19, and 2019-20. "/>
    <n v="446774"/>
    <x v="7"/>
    <n v="65524"/>
    <n v="65355"/>
    <n v="40714"/>
    <n v="41487"/>
    <n v="9418"/>
    <n v="8876"/>
    <n v="15392"/>
    <m/>
    <m/>
    <n v="14992"/>
    <n v="0"/>
    <m/>
    <m/>
    <m/>
    <n v="0"/>
    <n v="0"/>
    <m/>
    <m/>
    <m/>
    <m/>
    <m/>
    <m/>
    <m/>
    <m/>
    <m/>
    <m/>
    <m/>
    <m/>
  </r>
  <r>
    <x v="15"/>
    <s v="BridgeValley Community &amp; Technical College"/>
    <m/>
    <n v="484932"/>
    <x v="8"/>
    <n v="38379"/>
    <n v="37751"/>
    <n v="30012"/>
    <n v="28246"/>
    <n v="102"/>
    <n v="21"/>
    <n v="8265"/>
    <m/>
    <m/>
    <n v="9484"/>
    <n v="0"/>
    <m/>
    <m/>
    <m/>
    <n v="0"/>
    <n v="0"/>
    <m/>
    <m/>
    <m/>
    <m/>
    <m/>
    <m/>
    <m/>
    <m/>
    <m/>
    <m/>
    <m/>
    <m/>
  </r>
  <r>
    <x v="15"/>
    <s v="Eastern West Virginia Community &amp; Technical College"/>
    <m/>
    <n v="438708"/>
    <x v="8"/>
    <n v="7858"/>
    <n v="7607"/>
    <n v="3611"/>
    <n v="3541"/>
    <n v="1733"/>
    <n v="1840"/>
    <n v="2514"/>
    <m/>
    <m/>
    <n v="2226"/>
    <n v="0"/>
    <m/>
    <m/>
    <m/>
    <n v="0"/>
    <n v="0"/>
    <m/>
    <m/>
    <m/>
    <m/>
    <m/>
    <m/>
    <m/>
    <m/>
    <m/>
    <m/>
    <m/>
    <m/>
  </r>
  <r>
    <x v="15"/>
    <s v="Mountwest Community &amp; Technical College"/>
    <m/>
    <n v="444954"/>
    <x v="8"/>
    <n v="40378"/>
    <n v="41061"/>
    <n v="23110"/>
    <n v="23816"/>
    <n v="5174"/>
    <n v="5940"/>
    <n v="12094"/>
    <m/>
    <m/>
    <n v="11305"/>
    <n v="0"/>
    <m/>
    <m/>
    <m/>
    <n v="0"/>
    <n v="0"/>
    <m/>
    <m/>
    <m/>
    <m/>
    <m/>
    <m/>
    <m/>
    <m/>
    <m/>
    <m/>
    <m/>
    <m/>
  </r>
  <r>
    <x v="15"/>
    <s v="New River Community &amp; Technical College"/>
    <m/>
    <n v="447582"/>
    <x v="8"/>
    <n v="26362"/>
    <n v="25691"/>
    <n v="17400"/>
    <n v="15118"/>
    <n v="0"/>
    <n v="0"/>
    <n v="8962"/>
    <m/>
    <m/>
    <n v="10573"/>
    <n v="0"/>
    <m/>
    <m/>
    <m/>
    <n v="0"/>
    <n v="0"/>
    <m/>
    <m/>
    <m/>
    <m/>
    <m/>
    <m/>
    <m/>
    <m/>
    <m/>
    <m/>
    <m/>
    <m/>
  </r>
  <r>
    <x v="15"/>
    <s v="Pierpont Community &amp; Technical College"/>
    <m/>
    <n v="443492"/>
    <x v="8"/>
    <n v="37538"/>
    <n v="38040"/>
    <n v="12219"/>
    <n v="11262"/>
    <n v="18607"/>
    <n v="19563"/>
    <n v="6712"/>
    <m/>
    <m/>
    <n v="7215"/>
    <n v="0"/>
    <m/>
    <m/>
    <m/>
    <n v="0"/>
    <n v="0"/>
    <m/>
    <m/>
    <m/>
    <m/>
    <m/>
    <m/>
    <m/>
    <m/>
    <m/>
    <m/>
    <m/>
    <m/>
  </r>
  <r>
    <x v="15"/>
    <s v="Southern West Virginia Community &amp; Technical College "/>
    <m/>
    <n v="237817"/>
    <x v="8"/>
    <n v="34276"/>
    <n v="32492"/>
    <n v="15902"/>
    <n v="14321"/>
    <n v="1031"/>
    <n v="1247"/>
    <n v="14904"/>
    <n v="2439"/>
    <m/>
    <n v="14754"/>
    <n v="2170"/>
    <m/>
    <m/>
    <m/>
    <n v="0"/>
    <n v="0"/>
    <m/>
    <m/>
    <m/>
    <m/>
    <m/>
    <m/>
    <m/>
    <m/>
    <m/>
    <m/>
    <m/>
    <m/>
  </r>
  <r>
    <x v="15"/>
    <s v="West Virginia Northern Community College"/>
    <m/>
    <n v="238014"/>
    <x v="8"/>
    <n v="32146"/>
    <n v="30313"/>
    <n v="16238"/>
    <n v="13677"/>
    <n v="0"/>
    <n v="0"/>
    <n v="13926"/>
    <n v="1982"/>
    <m/>
    <n v="14519"/>
    <n v="2117"/>
    <m/>
    <m/>
    <m/>
    <n v="0"/>
    <n v="0"/>
    <m/>
    <m/>
    <m/>
    <m/>
    <m/>
    <m/>
    <m/>
    <m/>
    <m/>
    <m/>
    <m/>
    <m/>
  </r>
  <r>
    <x v="15"/>
    <s v="Academy of Careers and Technology"/>
    <m/>
    <n v="237729"/>
    <x v="14"/>
    <n v="0"/>
    <n v="0"/>
    <m/>
    <n v="0"/>
    <m/>
    <n v="0"/>
    <m/>
    <m/>
    <m/>
    <n v="0"/>
    <n v="0"/>
    <n v="0"/>
    <m/>
    <n v="0"/>
    <n v="0"/>
    <n v="0"/>
    <m/>
    <m/>
    <m/>
    <m/>
    <m/>
    <m/>
    <m/>
    <m/>
    <m/>
    <m/>
    <m/>
    <m/>
  </r>
  <r>
    <x v="15"/>
    <s v="Ben Franklin Career Center"/>
    <m/>
    <n v="237172"/>
    <x v="14"/>
    <n v="0"/>
    <n v="0"/>
    <m/>
    <n v="0"/>
    <m/>
    <n v="0"/>
    <m/>
    <m/>
    <m/>
    <n v="0"/>
    <n v="0"/>
    <n v="0"/>
    <m/>
    <n v="0"/>
    <n v="0"/>
    <n v="0"/>
    <m/>
    <m/>
    <m/>
    <m/>
    <m/>
    <m/>
    <m/>
    <m/>
    <m/>
    <m/>
    <m/>
    <m/>
  </r>
  <r>
    <x v="15"/>
    <s v="Boone Career and Technical Center"/>
    <m/>
    <n v="237224"/>
    <x v="14"/>
    <n v="0"/>
    <n v="0"/>
    <m/>
    <n v="0"/>
    <m/>
    <n v="0"/>
    <m/>
    <m/>
    <m/>
    <n v="0"/>
    <n v="0"/>
    <n v="0"/>
    <m/>
    <n v="0"/>
    <n v="0"/>
    <n v="0"/>
    <m/>
    <m/>
    <m/>
    <m/>
    <m/>
    <m/>
    <m/>
    <m/>
    <m/>
    <m/>
    <m/>
    <m/>
  </r>
  <r>
    <x v="15"/>
    <s v="Cabell County Career Technology Center"/>
    <m/>
    <n v="237242"/>
    <x v="14"/>
    <n v="0"/>
    <n v="0"/>
    <m/>
    <n v="0"/>
    <m/>
    <n v="0"/>
    <m/>
    <m/>
    <m/>
    <n v="0"/>
    <n v="0"/>
    <n v="0"/>
    <m/>
    <n v="0"/>
    <n v="0"/>
    <n v="0"/>
    <m/>
    <m/>
    <m/>
    <m/>
    <m/>
    <m/>
    <m/>
    <m/>
    <m/>
    <m/>
    <m/>
    <m/>
  </r>
  <r>
    <x v="15"/>
    <s v="Carver Career and Technical Education Center"/>
    <m/>
    <n v="430795"/>
    <x v="14"/>
    <n v="0"/>
    <n v="0"/>
    <m/>
    <n v="0"/>
    <m/>
    <n v="0"/>
    <m/>
    <m/>
    <m/>
    <n v="0"/>
    <n v="0"/>
    <n v="0"/>
    <m/>
    <n v="0"/>
    <n v="0"/>
    <n v="0"/>
    <m/>
    <m/>
    <m/>
    <m/>
    <m/>
    <m/>
    <m/>
    <m/>
    <m/>
    <m/>
    <m/>
    <m/>
  </r>
  <r>
    <x v="15"/>
    <s v="Fayette Institute of Technology"/>
    <m/>
    <n v="413176"/>
    <x v="14"/>
    <n v="0"/>
    <n v="0"/>
    <m/>
    <n v="0"/>
    <m/>
    <n v="0"/>
    <m/>
    <m/>
    <m/>
    <n v="0"/>
    <n v="0"/>
    <n v="0"/>
    <m/>
    <n v="0"/>
    <n v="0"/>
    <n v="0"/>
    <m/>
    <m/>
    <m/>
    <m/>
    <m/>
    <m/>
    <m/>
    <m/>
    <m/>
    <m/>
    <m/>
    <m/>
  </r>
  <r>
    <x v="15"/>
    <s v="Fred W. Eberle Technical Center "/>
    <m/>
    <n v="237844"/>
    <x v="14"/>
    <n v="0"/>
    <n v="0"/>
    <m/>
    <n v="0"/>
    <m/>
    <n v="0"/>
    <m/>
    <m/>
    <m/>
    <n v="0"/>
    <n v="0"/>
    <n v="0"/>
    <m/>
    <n v="0"/>
    <n v="0"/>
    <n v="0"/>
    <m/>
    <m/>
    <m/>
    <m/>
    <m/>
    <m/>
    <m/>
    <m/>
    <m/>
    <m/>
    <m/>
    <m/>
  </r>
  <r>
    <x v="15"/>
    <s v="Garnet Career Center "/>
    <m/>
    <n v="431169"/>
    <x v="14"/>
    <n v="0"/>
    <n v="0"/>
    <m/>
    <n v="0"/>
    <m/>
    <n v="0"/>
    <m/>
    <m/>
    <m/>
    <n v="0"/>
    <n v="0"/>
    <n v="0"/>
    <m/>
    <n v="0"/>
    <n v="0"/>
    <n v="0"/>
    <m/>
    <m/>
    <m/>
    <m/>
    <m/>
    <m/>
    <m/>
    <m/>
    <m/>
    <m/>
    <m/>
    <m/>
  </r>
  <r>
    <x v="15"/>
    <s v="James Rumsey Technical Institute"/>
    <m/>
    <n v="237473"/>
    <x v="14"/>
    <n v="0"/>
    <n v="0"/>
    <m/>
    <n v="0"/>
    <m/>
    <n v="0"/>
    <m/>
    <m/>
    <m/>
    <n v="0"/>
    <n v="0"/>
    <n v="0"/>
    <m/>
    <n v="0"/>
    <n v="0"/>
    <n v="0"/>
    <m/>
    <m/>
    <m/>
    <m/>
    <m/>
    <m/>
    <m/>
    <m/>
    <m/>
    <m/>
    <m/>
    <m/>
  </r>
  <r>
    <x v="15"/>
    <s v="John D. Rockefeller IV Career Center"/>
    <m/>
    <n v="446349"/>
    <x v="14"/>
    <n v="0"/>
    <n v="0"/>
    <m/>
    <n v="0"/>
    <m/>
    <n v="0"/>
    <m/>
    <m/>
    <m/>
    <n v="0"/>
    <n v="0"/>
    <n v="0"/>
    <m/>
    <n v="0"/>
    <n v="0"/>
    <n v="0"/>
    <m/>
    <m/>
    <m/>
    <m/>
    <m/>
    <m/>
    <m/>
    <m/>
    <m/>
    <m/>
    <m/>
    <m/>
  </r>
  <r>
    <x v="15"/>
    <s v="Marion County Technical Center"/>
    <m/>
    <n v="237516"/>
    <x v="14"/>
    <n v="0"/>
    <n v="0"/>
    <m/>
    <n v="0"/>
    <m/>
    <n v="0"/>
    <m/>
    <m/>
    <m/>
    <n v="0"/>
    <n v="0"/>
    <n v="0"/>
    <m/>
    <n v="0"/>
    <n v="0"/>
    <n v="0"/>
    <m/>
    <m/>
    <m/>
    <m/>
    <m/>
    <m/>
    <m/>
    <m/>
    <m/>
    <m/>
    <m/>
    <m/>
  </r>
  <r>
    <x v="15"/>
    <s v="McDowell County Career and Technology Center"/>
    <m/>
    <n v="237534"/>
    <x v="14"/>
    <n v="0"/>
    <n v="0"/>
    <m/>
    <n v="0"/>
    <m/>
    <n v="0"/>
    <m/>
    <m/>
    <m/>
    <n v="0"/>
    <n v="0"/>
    <n v="0"/>
    <m/>
    <n v="0"/>
    <n v="0"/>
    <n v="0"/>
    <m/>
    <m/>
    <m/>
    <m/>
    <m/>
    <m/>
    <m/>
    <m/>
    <m/>
    <m/>
    <m/>
    <m/>
  </r>
  <r>
    <x v="15"/>
    <s v="Mercer County Technical Education Center"/>
    <m/>
    <n v="237543"/>
    <x v="14"/>
    <n v="0"/>
    <n v="0"/>
    <m/>
    <n v="0"/>
    <m/>
    <n v="0"/>
    <m/>
    <m/>
    <m/>
    <n v="0"/>
    <n v="0"/>
    <n v="0"/>
    <m/>
    <n v="0"/>
    <n v="0"/>
    <n v="0"/>
    <m/>
    <m/>
    <m/>
    <m/>
    <m/>
    <m/>
    <m/>
    <m/>
    <m/>
    <m/>
    <m/>
    <m/>
  </r>
  <r>
    <x v="15"/>
    <s v="Mineral County Technical Center"/>
    <m/>
    <n v="368647"/>
    <x v="14"/>
    <n v="0"/>
    <n v="0"/>
    <m/>
    <n v="0"/>
    <m/>
    <n v="0"/>
    <m/>
    <m/>
    <m/>
    <n v="0"/>
    <n v="0"/>
    <n v="0"/>
    <m/>
    <n v="0"/>
    <n v="0"/>
    <n v="0"/>
    <m/>
    <m/>
    <m/>
    <m/>
    <m/>
    <m/>
    <m/>
    <m/>
    <m/>
    <m/>
    <m/>
    <m/>
  </r>
  <r>
    <x v="15"/>
    <s v="Monongalia County Technical Education Center "/>
    <m/>
    <n v="237561"/>
    <x v="14"/>
    <n v="0"/>
    <n v="0"/>
    <m/>
    <n v="0"/>
    <m/>
    <n v="0"/>
    <m/>
    <m/>
    <m/>
    <n v="0"/>
    <n v="0"/>
    <n v="0"/>
    <m/>
    <n v="0"/>
    <n v="0"/>
    <n v="0"/>
    <m/>
    <m/>
    <m/>
    <m/>
    <m/>
    <m/>
    <m/>
    <m/>
    <m/>
    <m/>
    <m/>
    <m/>
  </r>
  <r>
    <x v="15"/>
    <s v="Putnam Career and Technical Center"/>
    <m/>
    <n v="419420"/>
    <x v="14"/>
    <n v="0"/>
    <n v="0"/>
    <m/>
    <n v="0"/>
    <m/>
    <n v="0"/>
    <m/>
    <m/>
    <m/>
    <n v="0"/>
    <n v="0"/>
    <n v="0"/>
    <m/>
    <n v="0"/>
    <n v="0"/>
    <n v="0"/>
    <m/>
    <m/>
    <m/>
    <m/>
    <m/>
    <m/>
    <m/>
    <m/>
    <m/>
    <m/>
    <m/>
    <m/>
  </r>
  <r>
    <x v="15"/>
    <s v="Ralph R. Willis Career and Technical Center"/>
    <m/>
    <n v="237491"/>
    <x v="14"/>
    <n v="0"/>
    <n v="0"/>
    <m/>
    <n v="0"/>
    <m/>
    <n v="0"/>
    <m/>
    <m/>
    <m/>
    <n v="0"/>
    <n v="0"/>
    <n v="0"/>
    <m/>
    <n v="0"/>
    <n v="0"/>
    <n v="0"/>
    <m/>
    <m/>
    <m/>
    <m/>
    <m/>
    <m/>
    <m/>
    <m/>
    <m/>
    <m/>
    <m/>
    <m/>
  </r>
  <r>
    <x v="15"/>
    <s v="Roane-Jackson Technical Center"/>
    <m/>
    <n v="364575"/>
    <x v="14"/>
    <n v="0"/>
    <n v="0"/>
    <m/>
    <n v="0"/>
    <m/>
    <n v="0"/>
    <m/>
    <m/>
    <m/>
    <n v="0"/>
    <n v="0"/>
    <n v="0"/>
    <m/>
    <n v="0"/>
    <n v="0"/>
    <n v="0"/>
    <m/>
    <m/>
    <m/>
    <m/>
    <m/>
    <m/>
    <m/>
    <m/>
    <m/>
    <m/>
    <m/>
    <m/>
  </r>
  <r>
    <x v="15"/>
    <s v="South Branch Career &amp; Technical Center"/>
    <m/>
    <n v="441894"/>
    <x v="14"/>
    <n v="0"/>
    <n v="0"/>
    <m/>
    <n v="0"/>
    <m/>
    <n v="0"/>
    <m/>
    <m/>
    <m/>
    <n v="0"/>
    <n v="0"/>
    <n v="0"/>
    <m/>
    <n v="0"/>
    <n v="0"/>
    <n v="0"/>
    <m/>
    <m/>
    <m/>
    <m/>
    <m/>
    <m/>
    <m/>
    <m/>
    <m/>
    <m/>
    <m/>
    <m/>
  </r>
  <r>
    <x v="15"/>
    <s v="United Technical Center"/>
    <m/>
    <n v="419031"/>
    <x v="14"/>
    <n v="0"/>
    <n v="0"/>
    <m/>
    <n v="0"/>
    <m/>
    <n v="0"/>
    <m/>
    <m/>
    <m/>
    <n v="0"/>
    <n v="0"/>
    <n v="0"/>
    <m/>
    <n v="0"/>
    <n v="0"/>
    <n v="0"/>
    <m/>
    <m/>
    <m/>
    <m/>
    <m/>
    <m/>
    <m/>
    <m/>
    <m/>
    <m/>
    <m/>
    <m/>
  </r>
  <r>
    <x v="15"/>
    <s v="Wyoming County Career &amp; Technical Center"/>
    <m/>
    <s v="N/A"/>
    <x v="14"/>
    <n v="0"/>
    <n v="0"/>
    <m/>
    <n v="0"/>
    <m/>
    <n v="0"/>
    <m/>
    <m/>
    <m/>
    <n v="0"/>
    <n v="0"/>
    <n v="0"/>
    <m/>
    <n v="0"/>
    <n v="0"/>
    <n v="0"/>
    <m/>
    <m/>
    <m/>
    <m/>
    <m/>
    <m/>
    <m/>
    <m/>
    <m/>
    <m/>
    <m/>
    <m/>
  </r>
  <r>
    <x v="15"/>
    <s v="Greenbrier School of Practical Nursing"/>
    <m/>
    <s v="N/A"/>
    <x v="11"/>
    <n v="0"/>
    <n v="0"/>
    <m/>
    <n v="0"/>
    <m/>
    <n v="0"/>
    <m/>
    <m/>
    <m/>
    <n v="0"/>
    <n v="0"/>
    <n v="0"/>
    <m/>
    <n v="0"/>
    <n v="0"/>
    <n v="0"/>
    <m/>
    <m/>
    <m/>
    <m/>
    <m/>
    <m/>
    <m/>
    <m/>
    <m/>
    <m/>
    <m/>
    <m/>
  </r>
  <r>
    <x v="15"/>
    <s v="Mingo Extended Learning Center"/>
    <m/>
    <n v="486202"/>
    <x v="11"/>
    <n v="0"/>
    <n v="0"/>
    <m/>
    <n v="0"/>
    <m/>
    <n v="0"/>
    <m/>
    <m/>
    <m/>
    <n v="0"/>
    <n v="0"/>
    <n v="0"/>
    <m/>
    <n v="0"/>
    <n v="0"/>
    <n v="0"/>
    <m/>
    <m/>
    <m/>
    <m/>
    <m/>
    <m/>
    <m/>
    <m/>
    <m/>
    <m/>
    <m/>
    <m/>
  </r>
  <r>
    <x v="15"/>
    <s v="Randolph Technical Center"/>
    <m/>
    <n v="486406"/>
    <x v="11"/>
    <n v="0"/>
    <n v="0"/>
    <m/>
    <n v="0"/>
    <m/>
    <n v="0"/>
    <m/>
    <m/>
    <m/>
    <n v="0"/>
    <n v="0"/>
    <n v="0"/>
    <m/>
    <n v="0"/>
    <n v="0"/>
    <n v="0"/>
    <m/>
    <m/>
    <m/>
    <m/>
    <m/>
    <m/>
    <m/>
    <m/>
    <m/>
    <m/>
    <m/>
    <m/>
  </r>
  <r>
    <x v="15"/>
    <s v="Summers County School of Practical Nursing"/>
    <m/>
    <s v="N/A"/>
    <x v="11"/>
    <n v="0"/>
    <n v="0"/>
    <m/>
    <n v="0"/>
    <m/>
    <n v="0"/>
    <m/>
    <m/>
    <m/>
    <n v="0"/>
    <n v="0"/>
    <n v="0"/>
    <m/>
    <n v="0"/>
    <n v="0"/>
    <n v="0"/>
    <m/>
    <m/>
    <m/>
    <m/>
    <m/>
    <m/>
    <m/>
    <m/>
    <m/>
    <m/>
    <m/>
    <m/>
  </r>
  <r>
    <x v="15"/>
    <s v="Wood County School of Practical Nursing"/>
    <m/>
    <n v="238096"/>
    <x v="11"/>
    <n v="0"/>
    <n v="0"/>
    <m/>
    <n v="0"/>
    <m/>
    <n v="0"/>
    <m/>
    <m/>
    <m/>
    <n v="0"/>
    <n v="0"/>
    <n v="0"/>
    <m/>
    <n v="0"/>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2275154-28A6-431D-9205-CCBA80934DF0}" name="PivotTable1" cacheId="18"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3:U617"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8">
        <item x="0"/>
        <item x="1"/>
        <item x="2"/>
        <item x="3"/>
        <item x="4"/>
        <item x="5"/>
        <item x="11"/>
        <item x="13"/>
        <item x="6"/>
        <item x="7"/>
        <item x="8"/>
        <item x="9"/>
        <item x="10"/>
        <item h="1" m="1" x="16"/>
        <item h="1" x="14"/>
        <item h="1" m="1" x="15"/>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8">
        <item n="Four-Year +" x="3"/>
        <item n="Two-Year" x="4"/>
        <item n="Technical" x="5"/>
        <item h="1" x="2"/>
        <item h="1" x="1"/>
        <item h="1" x="0"/>
        <item x="6"/>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70"/>
    <field x="4"/>
  </colFields>
  <colItems count="19">
    <i>
      <x/>
      <x/>
    </i>
    <i r="1">
      <x v="1"/>
    </i>
    <i r="1">
      <x v="2"/>
    </i>
    <i r="1">
      <x v="3"/>
    </i>
    <i r="1">
      <x v="4"/>
    </i>
    <i r="1">
      <x v="5"/>
    </i>
    <i r="1">
      <x v="6"/>
    </i>
    <i t="default">
      <x/>
    </i>
    <i>
      <x v="1"/>
      <x v="7"/>
    </i>
    <i r="1">
      <x v="8"/>
    </i>
    <i r="1">
      <x v="9"/>
    </i>
    <i r="1">
      <x v="10"/>
    </i>
    <i t="default">
      <x v="1"/>
    </i>
    <i>
      <x v="2"/>
      <x v="11"/>
    </i>
    <i r="1">
      <x v="12"/>
    </i>
    <i t="default">
      <x v="2"/>
    </i>
    <i>
      <x v="6"/>
      <x v="16"/>
    </i>
    <i t="default">
      <x v="6"/>
    </i>
    <i t="grand">
      <x/>
    </i>
  </colItems>
  <dataFields count="36">
    <dataField name=" Old %UG OnC Trad" fld="69" baseField="0" baseItem="0"/>
    <dataField name=" New %UG OnC Trad" fld="68" baseField="0" baseItem="0"/>
    <dataField name=" Change %UG OnC Trad" fld="51" baseField="0" baseItem="0"/>
    <dataField name=" Old %UG OffC Trad" fld="73" baseField="0" baseItem="0"/>
    <dataField name=" New %UG OffC Trad" fld="67" baseField="0" baseItem="0"/>
    <dataField name=" Change %UG OffC Trad" fld="54" baseField="0" baseItem="5"/>
    <dataField name=" Old %UG EL Web" fld="35" baseField="0" baseItem="0"/>
    <dataField name=" New %UG EL Web" fld="36" baseField="0" baseItem="0"/>
    <dataField name=" Change %UG EL Web" fld="55" baseField="0" baseItem="0"/>
    <dataField name=" Old %UG EL CV" fld="42" baseField="0" baseItem="0"/>
    <dataField name=" New %UG EL CV" fld="41" baseField="0" baseItem="0"/>
    <dataField name=" Change %UG EL CV" fld="58" baseField="0" baseItem="0"/>
    <dataField name=" Old %UG EL O" fld="43" baseField="0" baseItem="0"/>
    <dataField name=" New %UG EL O" fld="44" baseField="0" baseItem="0"/>
    <dataField name=" Change %UG EL O" fld="59" baseField="0" baseItem="0"/>
    <dataField name=" Old %UG Cor" fld="50" baseField="0" baseItem="0"/>
    <dataField name=" New %UG Cor" fld="49" baseField="0" baseItem="0"/>
    <dataField name=" Change %UG Cor" fld="62" baseField="0" baseItem="0"/>
    <dataField name=" Old %G OnC Trad" fld="71" baseField="0" baseItem="0"/>
    <dataField name=" New %G OnC Trad" fld="33" baseField="0" baseItem="0"/>
    <dataField name=" Change %G OnC Trad" fld="52" baseField="0" baseItem="0"/>
    <dataField name=" Old %G OffC Trad" fld="72" baseField="0" baseItem="0"/>
    <dataField name=" New %G OffC Trad" fld="34" baseField="0" baseItem="0"/>
    <dataField name=" Change %G OffC Trad" fld="53" baseField="0" baseItem="0"/>
    <dataField name=" Old %G EL Web" fld="38" baseField="0" baseItem="0"/>
    <dataField name=" New %G EL Web" fld="37" baseField="0" baseItem="0"/>
    <dataField name=" Change %G EL Web" fld="56" baseField="0" baseItem="0"/>
    <dataField name=" Old %G EL CV" fld="39" baseField="0" baseItem="0"/>
    <dataField name=" New %G EL CV" fld="40" baseField="0" baseItem="0"/>
    <dataField name=" Change %G EL CV" fld="57" baseField="0" baseItem="0"/>
    <dataField name=" Old %G EL O" fld="46" baseField="0" baseItem="0"/>
    <dataField name=" New %G EL O" fld="45" baseField="0" baseItem="0"/>
    <dataField name=" Change %G EL O" fld="60" baseField="0" baseItem="0"/>
    <dataField name=" Old %G Cor" fld="47" baseField="0" baseItem="0"/>
    <dataField name=" New %G Cor" fld="48" baseField="0" baseItem="0"/>
    <dataField name=" Change %G Cor" fld="61" baseField="0" baseItem="0"/>
  </dataFields>
  <formats count="3016">
    <format dxfId="3162">
      <pivotArea field="4" type="button" dataOnly="0" labelOnly="1" outline="0" axis="axisCol" fieldPosition="1"/>
    </format>
    <format dxfId="3161">
      <pivotArea type="topRight" dataOnly="0" labelOnly="1" outline="0" fieldPosition="0"/>
    </format>
    <format dxfId="3160">
      <pivotArea dataOnly="0" labelOnly="1" grandCol="1" outline="0" fieldPosition="0"/>
    </format>
    <format dxfId="3159">
      <pivotArea outline="0" fieldPosition="0"/>
    </format>
    <format dxfId="3158">
      <pivotArea dataOnly="0" labelOnly="1" outline="0" offset="IV256" fieldPosition="0">
        <references count="1">
          <reference field="0" count="1">
            <x v="9"/>
          </reference>
        </references>
      </pivotArea>
    </format>
    <format dxfId="3157">
      <pivotArea dataOnly="0" labelOnly="1" outline="0" fieldPosition="0">
        <references count="1">
          <reference field="0" count="0"/>
        </references>
      </pivotArea>
    </format>
    <format dxfId="3156">
      <pivotArea type="origin" dataOnly="0" labelOnly="1" outline="0" fieldPosition="0"/>
    </format>
    <format dxfId="3155">
      <pivotArea field="0" type="button" dataOnly="0" labelOnly="1" outline="0" axis="axisRow" fieldPosition="0"/>
    </format>
    <format dxfId="3154">
      <pivotArea field="-2" type="button" dataOnly="0" labelOnly="1" outline="0" axis="axisRow" fieldPosition="1"/>
    </format>
    <format dxfId="3153">
      <pivotArea field="4" type="button" dataOnly="0" labelOnly="1" outline="0" axis="axisCol" fieldPosition="1"/>
    </format>
    <format dxfId="3152">
      <pivotArea type="topRight" dataOnly="0" labelOnly="1" outline="0" fieldPosition="0"/>
    </format>
    <format dxfId="3151">
      <pivotArea dataOnly="0" labelOnly="1" grandCol="1" outline="0" offset="IV256" fieldPosition="0"/>
    </format>
    <format dxfId="3150">
      <pivotArea field="0" grandRow="1" outline="0" axis="axisRow" fieldPosition="0">
        <references count="1">
          <reference field="4294967294" count="1" selected="0">
            <x v="35"/>
          </reference>
        </references>
      </pivotArea>
    </format>
    <format dxfId="3149">
      <pivotArea field="0" dataOnly="0" labelOnly="1" grandRow="1" outline="0" axis="axisRow" fieldPosition="0">
        <references count="1">
          <reference field="4294967294" count="1" selected="0">
            <x v="0"/>
          </reference>
        </references>
      </pivotArea>
    </format>
    <format dxfId="3148">
      <pivotArea field="0" dataOnly="0" labelOnly="1" grandRow="1" outline="0" axis="axisRow" fieldPosition="0">
        <references count="1">
          <reference field="4294967294" count="1" selected="0">
            <x v="1"/>
          </reference>
        </references>
      </pivotArea>
    </format>
    <format dxfId="3147">
      <pivotArea field="0" dataOnly="0" labelOnly="1" grandRow="1" outline="0" axis="axisRow" fieldPosition="0">
        <references count="1">
          <reference field="4294967294" count="1" selected="0">
            <x v="3"/>
          </reference>
        </references>
      </pivotArea>
    </format>
    <format dxfId="3146">
      <pivotArea field="0" dataOnly="0" labelOnly="1" grandRow="1" outline="0" axis="axisRow" fieldPosition="0">
        <references count="1">
          <reference field="4294967294" count="1" selected="0">
            <x v="4"/>
          </reference>
        </references>
      </pivotArea>
    </format>
    <format dxfId="3145">
      <pivotArea field="0" dataOnly="0" labelOnly="1" grandRow="1" outline="0" axis="axisRow" fieldPosition="0">
        <references count="1">
          <reference field="4294967294" count="1" selected="0">
            <x v="5"/>
          </reference>
        </references>
      </pivotArea>
    </format>
    <format dxfId="3144">
      <pivotArea field="0" dataOnly="0" labelOnly="1" grandRow="1" outline="0" axis="axisRow" fieldPosition="0">
        <references count="1">
          <reference field="4294967294" count="1" selected="0">
            <x v="6"/>
          </reference>
        </references>
      </pivotArea>
    </format>
    <format dxfId="3143">
      <pivotArea field="0" dataOnly="0" labelOnly="1" grandRow="1" outline="0" axis="axisRow" fieldPosition="0">
        <references count="1">
          <reference field="4294967294" count="1" selected="0">
            <x v="7"/>
          </reference>
        </references>
      </pivotArea>
    </format>
    <format dxfId="3142">
      <pivotArea field="0" dataOnly="0" labelOnly="1" grandRow="1" outline="0" axis="axisRow" fieldPosition="0">
        <references count="1">
          <reference field="4294967294" count="1" selected="0">
            <x v="8"/>
          </reference>
        </references>
      </pivotArea>
    </format>
    <format dxfId="3141">
      <pivotArea field="0" dataOnly="0" labelOnly="1" grandRow="1" outline="0" axis="axisRow" fieldPosition="0">
        <references count="1">
          <reference field="4294967294" count="1" selected="0">
            <x v="9"/>
          </reference>
        </references>
      </pivotArea>
    </format>
    <format dxfId="3140">
      <pivotArea field="0" dataOnly="0" labelOnly="1" grandRow="1" outline="0" axis="axisRow" fieldPosition="0">
        <references count="1">
          <reference field="4294967294" count="1" selected="0">
            <x v="10"/>
          </reference>
        </references>
      </pivotArea>
    </format>
    <format dxfId="3139">
      <pivotArea field="0" dataOnly="0" labelOnly="1" grandRow="1" outline="0" axis="axisRow" fieldPosition="0">
        <references count="1">
          <reference field="4294967294" count="1" selected="0">
            <x v="11"/>
          </reference>
        </references>
      </pivotArea>
    </format>
    <format dxfId="3138">
      <pivotArea field="0" dataOnly="0" labelOnly="1" grandRow="1" outline="0" axis="axisRow" fieldPosition="0">
        <references count="1">
          <reference field="4294967294" count="1" selected="0">
            <x v="12"/>
          </reference>
        </references>
      </pivotArea>
    </format>
    <format dxfId="3137">
      <pivotArea field="0" dataOnly="0" labelOnly="1" grandRow="1" outline="0" axis="axisRow" fieldPosition="0">
        <references count="1">
          <reference field="4294967294" count="1" selected="0">
            <x v="13"/>
          </reference>
        </references>
      </pivotArea>
    </format>
    <format dxfId="3136">
      <pivotArea field="0" dataOnly="0" labelOnly="1" grandRow="1" outline="0" axis="axisRow" fieldPosition="0">
        <references count="1">
          <reference field="4294967294" count="1" selected="0">
            <x v="14"/>
          </reference>
        </references>
      </pivotArea>
    </format>
    <format dxfId="3135">
      <pivotArea field="0" dataOnly="0" labelOnly="1" grandRow="1" outline="0" axis="axisRow" fieldPosition="0">
        <references count="1">
          <reference field="4294967294" count="1" selected="0">
            <x v="15"/>
          </reference>
        </references>
      </pivotArea>
    </format>
    <format dxfId="3134">
      <pivotArea field="0" dataOnly="0" labelOnly="1" grandRow="1" outline="0" axis="axisRow" fieldPosition="0">
        <references count="1">
          <reference field="4294967294" count="1" selected="0">
            <x v="16"/>
          </reference>
        </references>
      </pivotArea>
    </format>
    <format dxfId="3133">
      <pivotArea field="0" dataOnly="0" labelOnly="1" grandRow="1" outline="0" axis="axisRow" fieldPosition="0">
        <references count="1">
          <reference field="4294967294" count="1" selected="0">
            <x v="17"/>
          </reference>
        </references>
      </pivotArea>
    </format>
    <format dxfId="3132">
      <pivotArea field="0" dataOnly="0" labelOnly="1" grandRow="1" outline="0" axis="axisRow" fieldPosition="0">
        <references count="1">
          <reference field="4294967294" count="1" selected="0">
            <x v="18"/>
          </reference>
        </references>
      </pivotArea>
    </format>
    <format dxfId="3131">
      <pivotArea field="0" dataOnly="0" labelOnly="1" grandRow="1" outline="0" axis="axisRow" fieldPosition="0">
        <references count="1">
          <reference field="4294967294" count="1" selected="0">
            <x v="19"/>
          </reference>
        </references>
      </pivotArea>
    </format>
    <format dxfId="3130">
      <pivotArea field="0" dataOnly="0" labelOnly="1" grandRow="1" outline="0" axis="axisRow" fieldPosition="0">
        <references count="1">
          <reference field="4294967294" count="1" selected="0">
            <x v="20"/>
          </reference>
        </references>
      </pivotArea>
    </format>
    <format dxfId="3129">
      <pivotArea field="0" dataOnly="0" labelOnly="1" grandRow="1" outline="0" axis="axisRow" fieldPosition="0">
        <references count="1">
          <reference field="4294967294" count="1" selected="0">
            <x v="21"/>
          </reference>
        </references>
      </pivotArea>
    </format>
    <format dxfId="3128">
      <pivotArea field="0" dataOnly="0" labelOnly="1" grandRow="1" outline="0" axis="axisRow" fieldPosition="0">
        <references count="1">
          <reference field="4294967294" count="1" selected="0">
            <x v="22"/>
          </reference>
        </references>
      </pivotArea>
    </format>
    <format dxfId="3127">
      <pivotArea field="0" dataOnly="0" labelOnly="1" grandRow="1" outline="0" axis="axisRow" fieldPosition="0">
        <references count="1">
          <reference field="4294967294" count="1" selected="0">
            <x v="23"/>
          </reference>
        </references>
      </pivotArea>
    </format>
    <format dxfId="3126">
      <pivotArea field="0" dataOnly="0" labelOnly="1" grandRow="1" outline="0" axis="axisRow" fieldPosition="0">
        <references count="1">
          <reference field="4294967294" count="1" selected="0">
            <x v="24"/>
          </reference>
        </references>
      </pivotArea>
    </format>
    <format dxfId="3125">
      <pivotArea field="0" dataOnly="0" labelOnly="1" grandRow="1" outline="0" axis="axisRow" fieldPosition="0">
        <references count="1">
          <reference field="4294967294" count="1" selected="0">
            <x v="25"/>
          </reference>
        </references>
      </pivotArea>
    </format>
    <format dxfId="3124">
      <pivotArea field="0" dataOnly="0" labelOnly="1" grandRow="1" outline="0" axis="axisRow" fieldPosition="0">
        <references count="1">
          <reference field="4294967294" count="1" selected="0">
            <x v="26"/>
          </reference>
        </references>
      </pivotArea>
    </format>
    <format dxfId="3123">
      <pivotArea field="0" dataOnly="0" labelOnly="1" grandRow="1" outline="0" axis="axisRow" fieldPosition="0">
        <references count="1">
          <reference field="4294967294" count="1" selected="0">
            <x v="27"/>
          </reference>
        </references>
      </pivotArea>
    </format>
    <format dxfId="3122">
      <pivotArea field="0" dataOnly="0" labelOnly="1" grandRow="1" outline="0" axis="axisRow" fieldPosition="0">
        <references count="1">
          <reference field="4294967294" count="1" selected="0">
            <x v="28"/>
          </reference>
        </references>
      </pivotArea>
    </format>
    <format dxfId="3121">
      <pivotArea field="0" dataOnly="0" labelOnly="1" grandRow="1" outline="0" axis="axisRow" fieldPosition="0">
        <references count="1">
          <reference field="4294967294" count="1" selected="0">
            <x v="29"/>
          </reference>
        </references>
      </pivotArea>
    </format>
    <format dxfId="3120">
      <pivotArea field="0" dataOnly="0" labelOnly="1" grandRow="1" outline="0" axis="axisRow" fieldPosition="0">
        <references count="1">
          <reference field="4294967294" count="1" selected="0">
            <x v="30"/>
          </reference>
        </references>
      </pivotArea>
    </format>
    <format dxfId="3119">
      <pivotArea field="0" dataOnly="0" labelOnly="1" grandRow="1" outline="0" axis="axisRow" fieldPosition="0">
        <references count="1">
          <reference field="4294967294" count="1" selected="0">
            <x v="31"/>
          </reference>
        </references>
      </pivotArea>
    </format>
    <format dxfId="3118">
      <pivotArea field="0" dataOnly="0" labelOnly="1" grandRow="1" outline="0" axis="axisRow" fieldPosition="0">
        <references count="1">
          <reference field="4294967294" count="1" selected="0">
            <x v="32"/>
          </reference>
        </references>
      </pivotArea>
    </format>
    <format dxfId="3117">
      <pivotArea field="0" dataOnly="0" labelOnly="1" grandRow="1" outline="0" axis="axisRow" fieldPosition="0">
        <references count="1">
          <reference field="4294967294" count="1" selected="0">
            <x v="33"/>
          </reference>
        </references>
      </pivotArea>
    </format>
    <format dxfId="3116">
      <pivotArea field="0" dataOnly="0" labelOnly="1" grandRow="1" outline="0" axis="axisRow" fieldPosition="0">
        <references count="1">
          <reference field="4294967294" count="1" selected="0">
            <x v="34"/>
          </reference>
        </references>
      </pivotArea>
    </format>
    <format dxfId="3115">
      <pivotArea field="0" dataOnly="0" labelOnly="1" grandRow="1" outline="0" axis="axisRow" fieldPosition="0">
        <references count="1">
          <reference field="4294967294" count="1" selected="0">
            <x v="35"/>
          </reference>
        </references>
      </pivotArea>
    </format>
    <format dxfId="3114">
      <pivotArea field="0" grandRow="1" outline="0" axis="axisRow" fieldPosition="0">
        <references count="1">
          <reference field="4294967294" count="1" selected="0">
            <x v="5"/>
          </reference>
        </references>
      </pivotArea>
    </format>
    <format dxfId="3113">
      <pivotArea field="0" grandRow="1" outline="0" axis="axisRow" fieldPosition="0">
        <references count="1">
          <reference field="4294967294" count="1" selected="0">
            <x v="8"/>
          </reference>
        </references>
      </pivotArea>
    </format>
    <format dxfId="3112">
      <pivotArea field="0" grandRow="1" outline="0" axis="axisRow" fieldPosition="0">
        <references count="1">
          <reference field="4294967294" count="1" selected="0">
            <x v="11"/>
          </reference>
        </references>
      </pivotArea>
    </format>
    <format dxfId="3111">
      <pivotArea field="0" grandRow="1" outline="0" axis="axisRow" fieldPosition="0">
        <references count="1">
          <reference field="4294967294" count="1" selected="0">
            <x v="14"/>
          </reference>
        </references>
      </pivotArea>
    </format>
    <format dxfId="3110">
      <pivotArea field="0" grandRow="1" outline="0" axis="axisRow" fieldPosition="0">
        <references count="1">
          <reference field="4294967294" count="1" selected="0">
            <x v="17"/>
          </reference>
        </references>
      </pivotArea>
    </format>
    <format dxfId="3109">
      <pivotArea field="0" grandRow="1" outline="0" axis="axisRow" fieldPosition="0">
        <references count="1">
          <reference field="4294967294" count="1" selected="0">
            <x v="20"/>
          </reference>
        </references>
      </pivotArea>
    </format>
    <format dxfId="3108">
      <pivotArea field="0" grandRow="1" outline="0" axis="axisRow" fieldPosition="0">
        <references count="1">
          <reference field="4294967294" count="1" selected="0">
            <x v="23"/>
          </reference>
        </references>
      </pivotArea>
    </format>
    <format dxfId="3107">
      <pivotArea field="0" grandRow="1" outline="0" axis="axisRow" fieldPosition="0">
        <references count="1">
          <reference field="4294967294" count="1" selected="0">
            <x v="26"/>
          </reference>
        </references>
      </pivotArea>
    </format>
    <format dxfId="3106">
      <pivotArea field="0" grandRow="1" outline="0" axis="axisRow" fieldPosition="0">
        <references count="1">
          <reference field="4294967294" count="1" selected="0">
            <x v="29"/>
          </reference>
        </references>
      </pivotArea>
    </format>
    <format dxfId="3105">
      <pivotArea field="0" grandRow="1" outline="0" axis="axisRow" fieldPosition="0">
        <references count="1">
          <reference field="4294967294" count="1" selected="0">
            <x v="32"/>
          </reference>
        </references>
      </pivotArea>
    </format>
    <format dxfId="3104">
      <pivotArea field="0" grandRow="1" outline="0" axis="axisRow" fieldPosition="0">
        <references count="1">
          <reference field="4294967294" count="1" selected="0">
            <x v="35"/>
          </reference>
        </references>
      </pivotArea>
    </format>
    <format dxfId="3103">
      <pivotArea field="4" type="button" dataOnly="0" labelOnly="1" outline="0" axis="axisCol" fieldPosition="1"/>
    </format>
    <format dxfId="3102">
      <pivotArea type="topRight" dataOnly="0" labelOnly="1" outline="0" fieldPosition="0"/>
    </format>
    <format dxfId="3101">
      <pivotArea type="topRight" dataOnly="0" labelOnly="1" outline="0" offset="O1" fieldPosition="0"/>
    </format>
    <format dxfId="3100">
      <pivotArea type="origin" dataOnly="0" labelOnly="1" outline="0" offset="A2:B2" fieldPosition="0"/>
    </format>
    <format dxfId="3099">
      <pivotArea field="0" dataOnly="0" labelOnly="1" grandRow="1" outline="0" axis="axisRow" fieldPosition="0">
        <references count="1">
          <reference field="4294967294" count="1" selected="0">
            <x v="0"/>
          </reference>
        </references>
      </pivotArea>
    </format>
    <format dxfId="3098">
      <pivotArea field="0" dataOnly="0" labelOnly="1" grandRow="1" outline="0" axis="axisRow" fieldPosition="0">
        <references count="1">
          <reference field="4294967294" count="1" selected="0">
            <x v="1"/>
          </reference>
        </references>
      </pivotArea>
    </format>
    <format dxfId="3097">
      <pivotArea field="0" dataOnly="0" labelOnly="1" grandRow="1" outline="0" axis="axisRow" fieldPosition="0">
        <references count="1">
          <reference field="4294967294" count="1" selected="0">
            <x v="3"/>
          </reference>
        </references>
      </pivotArea>
    </format>
    <format dxfId="3096">
      <pivotArea field="0" dataOnly="0" labelOnly="1" grandRow="1" outline="0" axis="axisRow" fieldPosition="0">
        <references count="1">
          <reference field="4294967294" count="1" selected="0">
            <x v="4"/>
          </reference>
        </references>
      </pivotArea>
    </format>
    <format dxfId="3095">
      <pivotArea field="0" dataOnly="0" labelOnly="1" grandRow="1" outline="0" axis="axisRow" fieldPosition="0">
        <references count="1">
          <reference field="4294967294" count="1" selected="0">
            <x v="5"/>
          </reference>
        </references>
      </pivotArea>
    </format>
    <format dxfId="3094">
      <pivotArea field="0" dataOnly="0" labelOnly="1" grandRow="1" outline="0" axis="axisRow" fieldPosition="0">
        <references count="1">
          <reference field="4294967294" count="1" selected="0">
            <x v="6"/>
          </reference>
        </references>
      </pivotArea>
    </format>
    <format dxfId="3093">
      <pivotArea field="0" dataOnly="0" labelOnly="1" grandRow="1" outline="0" axis="axisRow" fieldPosition="0">
        <references count="1">
          <reference field="4294967294" count="1" selected="0">
            <x v="7"/>
          </reference>
        </references>
      </pivotArea>
    </format>
    <format dxfId="3092">
      <pivotArea field="0" dataOnly="0" labelOnly="1" grandRow="1" outline="0" axis="axisRow" fieldPosition="0">
        <references count="1">
          <reference field="4294967294" count="1" selected="0">
            <x v="8"/>
          </reference>
        </references>
      </pivotArea>
    </format>
    <format dxfId="3091">
      <pivotArea field="0" dataOnly="0" labelOnly="1" grandRow="1" outline="0" axis="axisRow" fieldPosition="0">
        <references count="1">
          <reference field="4294967294" count="1" selected="0">
            <x v="9"/>
          </reference>
        </references>
      </pivotArea>
    </format>
    <format dxfId="3090">
      <pivotArea field="0" dataOnly="0" labelOnly="1" grandRow="1" outline="0" axis="axisRow" fieldPosition="0">
        <references count="1">
          <reference field="4294967294" count="1" selected="0">
            <x v="10"/>
          </reference>
        </references>
      </pivotArea>
    </format>
    <format dxfId="3089">
      <pivotArea field="0" dataOnly="0" labelOnly="1" grandRow="1" outline="0" axis="axisRow" fieldPosition="0">
        <references count="1">
          <reference field="4294967294" count="1" selected="0">
            <x v="11"/>
          </reference>
        </references>
      </pivotArea>
    </format>
    <format dxfId="3088">
      <pivotArea field="0" dataOnly="0" labelOnly="1" grandRow="1" outline="0" axis="axisRow" fieldPosition="0">
        <references count="1">
          <reference field="4294967294" count="1" selected="0">
            <x v="12"/>
          </reference>
        </references>
      </pivotArea>
    </format>
    <format dxfId="3087">
      <pivotArea field="0" dataOnly="0" labelOnly="1" grandRow="1" outline="0" axis="axisRow" fieldPosition="0">
        <references count="1">
          <reference field="4294967294" count="1" selected="0">
            <x v="13"/>
          </reference>
        </references>
      </pivotArea>
    </format>
    <format dxfId="3086">
      <pivotArea field="0" dataOnly="0" labelOnly="1" grandRow="1" outline="0" axis="axisRow" fieldPosition="0">
        <references count="1">
          <reference field="4294967294" count="1" selected="0">
            <x v="14"/>
          </reference>
        </references>
      </pivotArea>
    </format>
    <format dxfId="3085">
      <pivotArea field="0" dataOnly="0" labelOnly="1" grandRow="1" outline="0" axis="axisRow" fieldPosition="0">
        <references count="1">
          <reference field="4294967294" count="1" selected="0">
            <x v="15"/>
          </reference>
        </references>
      </pivotArea>
    </format>
    <format dxfId="3084">
      <pivotArea field="0" dataOnly="0" labelOnly="1" grandRow="1" outline="0" axis="axisRow" fieldPosition="0">
        <references count="1">
          <reference field="4294967294" count="1" selected="0">
            <x v="16"/>
          </reference>
        </references>
      </pivotArea>
    </format>
    <format dxfId="3083">
      <pivotArea field="0" dataOnly="0" labelOnly="1" grandRow="1" outline="0" axis="axisRow" fieldPosition="0">
        <references count="1">
          <reference field="4294967294" count="1" selected="0">
            <x v="17"/>
          </reference>
        </references>
      </pivotArea>
    </format>
    <format dxfId="3082">
      <pivotArea field="0" dataOnly="0" labelOnly="1" grandRow="1" outline="0" axis="axisRow" fieldPosition="0">
        <references count="1">
          <reference field="4294967294" count="1" selected="0">
            <x v="18"/>
          </reference>
        </references>
      </pivotArea>
    </format>
    <format dxfId="3081">
      <pivotArea field="0" dataOnly="0" labelOnly="1" grandRow="1" outline="0" axis="axisRow" fieldPosition="0">
        <references count="1">
          <reference field="4294967294" count="1" selected="0">
            <x v="19"/>
          </reference>
        </references>
      </pivotArea>
    </format>
    <format dxfId="3080">
      <pivotArea field="0" dataOnly="0" labelOnly="1" grandRow="1" outline="0" axis="axisRow" fieldPosition="0">
        <references count="1">
          <reference field="4294967294" count="1" selected="0">
            <x v="20"/>
          </reference>
        </references>
      </pivotArea>
    </format>
    <format dxfId="3079">
      <pivotArea field="0" dataOnly="0" labelOnly="1" grandRow="1" outline="0" axis="axisRow" fieldPosition="0">
        <references count="1">
          <reference field="4294967294" count="1" selected="0">
            <x v="21"/>
          </reference>
        </references>
      </pivotArea>
    </format>
    <format dxfId="3078">
      <pivotArea field="0" dataOnly="0" labelOnly="1" grandRow="1" outline="0" axis="axisRow" fieldPosition="0">
        <references count="1">
          <reference field="4294967294" count="1" selected="0">
            <x v="22"/>
          </reference>
        </references>
      </pivotArea>
    </format>
    <format dxfId="3077">
      <pivotArea field="0" dataOnly="0" labelOnly="1" grandRow="1" outline="0" axis="axisRow" fieldPosition="0">
        <references count="1">
          <reference field="4294967294" count="1" selected="0">
            <x v="23"/>
          </reference>
        </references>
      </pivotArea>
    </format>
    <format dxfId="3076">
      <pivotArea field="0" dataOnly="0" labelOnly="1" grandRow="1" outline="0" axis="axisRow" fieldPosition="0">
        <references count="1">
          <reference field="4294967294" count="1" selected="0">
            <x v="24"/>
          </reference>
        </references>
      </pivotArea>
    </format>
    <format dxfId="3075">
      <pivotArea field="0" dataOnly="0" labelOnly="1" grandRow="1" outline="0" axis="axisRow" fieldPosition="0">
        <references count="1">
          <reference field="4294967294" count="1" selected="0">
            <x v="25"/>
          </reference>
        </references>
      </pivotArea>
    </format>
    <format dxfId="3074">
      <pivotArea field="0" dataOnly="0" labelOnly="1" grandRow="1" outline="0" axis="axisRow" fieldPosition="0">
        <references count="1">
          <reference field="4294967294" count="1" selected="0">
            <x v="26"/>
          </reference>
        </references>
      </pivotArea>
    </format>
    <format dxfId="3073">
      <pivotArea field="0" dataOnly="0" labelOnly="1" grandRow="1" outline="0" axis="axisRow" fieldPosition="0">
        <references count="1">
          <reference field="4294967294" count="1" selected="0">
            <x v="27"/>
          </reference>
        </references>
      </pivotArea>
    </format>
    <format dxfId="3072">
      <pivotArea field="0" dataOnly="0" labelOnly="1" grandRow="1" outline="0" axis="axisRow" fieldPosition="0">
        <references count="1">
          <reference field="4294967294" count="1" selected="0">
            <x v="28"/>
          </reference>
        </references>
      </pivotArea>
    </format>
    <format dxfId="3071">
      <pivotArea field="0" dataOnly="0" labelOnly="1" grandRow="1" outline="0" axis="axisRow" fieldPosition="0">
        <references count="1">
          <reference field="4294967294" count="1" selected="0">
            <x v="29"/>
          </reference>
        </references>
      </pivotArea>
    </format>
    <format dxfId="3070">
      <pivotArea field="0" dataOnly="0" labelOnly="1" grandRow="1" outline="0" axis="axisRow" fieldPosition="0">
        <references count="1">
          <reference field="4294967294" count="1" selected="0">
            <x v="30"/>
          </reference>
        </references>
      </pivotArea>
    </format>
    <format dxfId="3069">
      <pivotArea field="0" dataOnly="0" labelOnly="1" grandRow="1" outline="0" axis="axisRow" fieldPosition="0">
        <references count="1">
          <reference field="4294967294" count="1" selected="0">
            <x v="31"/>
          </reference>
        </references>
      </pivotArea>
    </format>
    <format dxfId="3068">
      <pivotArea field="0" dataOnly="0" labelOnly="1" grandRow="1" outline="0" axis="axisRow" fieldPosition="0">
        <references count="1">
          <reference field="4294967294" count="1" selected="0">
            <x v="32"/>
          </reference>
        </references>
      </pivotArea>
    </format>
    <format dxfId="3067">
      <pivotArea field="0" dataOnly="0" labelOnly="1" grandRow="1" outline="0" axis="axisRow" fieldPosition="0">
        <references count="1">
          <reference field="4294967294" count="1" selected="0">
            <x v="33"/>
          </reference>
        </references>
      </pivotArea>
    </format>
    <format dxfId="3066">
      <pivotArea field="0" dataOnly="0" labelOnly="1" grandRow="1" outline="0" axis="axisRow" fieldPosition="0">
        <references count="1">
          <reference field="4294967294" count="1" selected="0">
            <x v="34"/>
          </reference>
        </references>
      </pivotArea>
    </format>
    <format dxfId="3065">
      <pivotArea field="0" dataOnly="0" labelOnly="1" grandRow="1" outline="0" axis="axisRow" fieldPosition="0">
        <references count="1">
          <reference field="4294967294" count="1" selected="0">
            <x v="35"/>
          </reference>
        </references>
      </pivotArea>
    </format>
    <format dxfId="3064">
      <pivotArea field="0" grandRow="1" outline="0" axis="axisRow" fieldPosition="0">
        <references count="1">
          <reference field="4294967294" count="1" selected="0">
            <x v="35"/>
          </reference>
        </references>
      </pivotArea>
    </format>
    <format dxfId="3063">
      <pivotArea field="0" dataOnly="0" labelOnly="1" grandRow="1" outline="0" offset="IV256" axis="axisRow" fieldPosition="0">
        <references count="1">
          <reference field="4294967294" count="1" selected="0">
            <x v="0"/>
          </reference>
        </references>
      </pivotArea>
    </format>
    <format dxfId="3062">
      <pivotArea field="0" dataOnly="0" labelOnly="1" grandRow="1" outline="0" offset="IV256" axis="axisRow" fieldPosition="0">
        <references count="1">
          <reference field="4294967294" count="1" selected="0">
            <x v="1"/>
          </reference>
        </references>
      </pivotArea>
    </format>
    <format dxfId="3061">
      <pivotArea field="0" dataOnly="0" labelOnly="1" grandRow="1" outline="0" offset="IV256" axis="axisRow" fieldPosition="0">
        <references count="1">
          <reference field="4294967294" count="1" selected="0">
            <x v="3"/>
          </reference>
        </references>
      </pivotArea>
    </format>
    <format dxfId="3060">
      <pivotArea field="0" dataOnly="0" labelOnly="1" grandRow="1" outline="0" offset="IV256" axis="axisRow" fieldPosition="0">
        <references count="1">
          <reference field="4294967294" count="1" selected="0">
            <x v="4"/>
          </reference>
        </references>
      </pivotArea>
    </format>
    <format dxfId="3059">
      <pivotArea field="0" dataOnly="0" labelOnly="1" grandRow="1" outline="0" offset="IV256" axis="axisRow" fieldPosition="0">
        <references count="1">
          <reference field="4294967294" count="1" selected="0">
            <x v="5"/>
          </reference>
        </references>
      </pivotArea>
    </format>
    <format dxfId="3058">
      <pivotArea field="0" dataOnly="0" labelOnly="1" grandRow="1" outline="0" offset="IV256" axis="axisRow" fieldPosition="0">
        <references count="1">
          <reference field="4294967294" count="1" selected="0">
            <x v="6"/>
          </reference>
        </references>
      </pivotArea>
    </format>
    <format dxfId="3057">
      <pivotArea field="0" dataOnly="0" labelOnly="1" grandRow="1" outline="0" offset="IV256" axis="axisRow" fieldPosition="0">
        <references count="1">
          <reference field="4294967294" count="1" selected="0">
            <x v="7"/>
          </reference>
        </references>
      </pivotArea>
    </format>
    <format dxfId="3056">
      <pivotArea field="0" dataOnly="0" labelOnly="1" grandRow="1" outline="0" offset="IV256" axis="axisRow" fieldPosition="0">
        <references count="1">
          <reference field="4294967294" count="1" selected="0">
            <x v="8"/>
          </reference>
        </references>
      </pivotArea>
    </format>
    <format dxfId="3055">
      <pivotArea field="0" dataOnly="0" labelOnly="1" grandRow="1" outline="0" offset="IV256" axis="axisRow" fieldPosition="0">
        <references count="1">
          <reference field="4294967294" count="1" selected="0">
            <x v="9"/>
          </reference>
        </references>
      </pivotArea>
    </format>
    <format dxfId="3054">
      <pivotArea field="0" dataOnly="0" labelOnly="1" grandRow="1" outline="0" offset="IV256" axis="axisRow" fieldPosition="0">
        <references count="1">
          <reference field="4294967294" count="1" selected="0">
            <x v="10"/>
          </reference>
        </references>
      </pivotArea>
    </format>
    <format dxfId="3053">
      <pivotArea field="0" dataOnly="0" labelOnly="1" grandRow="1" outline="0" offset="IV256" axis="axisRow" fieldPosition="0">
        <references count="1">
          <reference field="4294967294" count="1" selected="0">
            <x v="11"/>
          </reference>
        </references>
      </pivotArea>
    </format>
    <format dxfId="3052">
      <pivotArea field="0" dataOnly="0" labelOnly="1" grandRow="1" outline="0" offset="IV256" axis="axisRow" fieldPosition="0">
        <references count="1">
          <reference field="4294967294" count="1" selected="0">
            <x v="12"/>
          </reference>
        </references>
      </pivotArea>
    </format>
    <format dxfId="3051">
      <pivotArea field="0" dataOnly="0" labelOnly="1" grandRow="1" outline="0" offset="IV256" axis="axisRow" fieldPosition="0">
        <references count="1">
          <reference field="4294967294" count="1" selected="0">
            <x v="13"/>
          </reference>
        </references>
      </pivotArea>
    </format>
    <format dxfId="3050">
      <pivotArea field="0" dataOnly="0" labelOnly="1" grandRow="1" outline="0" offset="IV256" axis="axisRow" fieldPosition="0">
        <references count="1">
          <reference field="4294967294" count="1" selected="0">
            <x v="14"/>
          </reference>
        </references>
      </pivotArea>
    </format>
    <format dxfId="3049">
      <pivotArea field="0" dataOnly="0" labelOnly="1" grandRow="1" outline="0" offset="IV256" axis="axisRow" fieldPosition="0">
        <references count="1">
          <reference field="4294967294" count="1" selected="0">
            <x v="15"/>
          </reference>
        </references>
      </pivotArea>
    </format>
    <format dxfId="3048">
      <pivotArea field="0" dataOnly="0" labelOnly="1" grandRow="1" outline="0" offset="IV256" axis="axisRow" fieldPosition="0">
        <references count="1">
          <reference field="4294967294" count="1" selected="0">
            <x v="16"/>
          </reference>
        </references>
      </pivotArea>
    </format>
    <format dxfId="3047">
      <pivotArea field="0" dataOnly="0" labelOnly="1" grandRow="1" outline="0" offset="IV256" axis="axisRow" fieldPosition="0">
        <references count="1">
          <reference field="4294967294" count="1" selected="0">
            <x v="17"/>
          </reference>
        </references>
      </pivotArea>
    </format>
    <format dxfId="3046">
      <pivotArea field="0" dataOnly="0" labelOnly="1" grandRow="1" outline="0" offset="IV256" axis="axisRow" fieldPosition="0">
        <references count="1">
          <reference field="4294967294" count="1" selected="0">
            <x v="18"/>
          </reference>
        </references>
      </pivotArea>
    </format>
    <format dxfId="3045">
      <pivotArea field="0" dataOnly="0" labelOnly="1" grandRow="1" outline="0" offset="IV256" axis="axisRow" fieldPosition="0">
        <references count="1">
          <reference field="4294967294" count="1" selected="0">
            <x v="19"/>
          </reference>
        </references>
      </pivotArea>
    </format>
    <format dxfId="3044">
      <pivotArea field="0" dataOnly="0" labelOnly="1" grandRow="1" outline="0" offset="IV256" axis="axisRow" fieldPosition="0">
        <references count="1">
          <reference field="4294967294" count="1" selected="0">
            <x v="20"/>
          </reference>
        </references>
      </pivotArea>
    </format>
    <format dxfId="3043">
      <pivotArea field="0" dataOnly="0" labelOnly="1" grandRow="1" outline="0" offset="IV256" axis="axisRow" fieldPosition="0">
        <references count="1">
          <reference field="4294967294" count="1" selected="0">
            <x v="21"/>
          </reference>
        </references>
      </pivotArea>
    </format>
    <format dxfId="3042">
      <pivotArea field="0" dataOnly="0" labelOnly="1" grandRow="1" outline="0" offset="IV256" axis="axisRow" fieldPosition="0">
        <references count="1">
          <reference field="4294967294" count="1" selected="0">
            <x v="22"/>
          </reference>
        </references>
      </pivotArea>
    </format>
    <format dxfId="3041">
      <pivotArea field="0" dataOnly="0" labelOnly="1" grandRow="1" outline="0" offset="IV256" axis="axisRow" fieldPosition="0">
        <references count="1">
          <reference field="4294967294" count="1" selected="0">
            <x v="23"/>
          </reference>
        </references>
      </pivotArea>
    </format>
    <format dxfId="3040">
      <pivotArea field="0" dataOnly="0" labelOnly="1" grandRow="1" outline="0" offset="IV256" axis="axisRow" fieldPosition="0">
        <references count="1">
          <reference field="4294967294" count="1" selected="0">
            <x v="24"/>
          </reference>
        </references>
      </pivotArea>
    </format>
    <format dxfId="3039">
      <pivotArea field="0" dataOnly="0" labelOnly="1" grandRow="1" outline="0" offset="IV256" axis="axisRow" fieldPosition="0">
        <references count="1">
          <reference field="4294967294" count="1" selected="0">
            <x v="25"/>
          </reference>
        </references>
      </pivotArea>
    </format>
    <format dxfId="3038">
      <pivotArea field="0" dataOnly="0" labelOnly="1" grandRow="1" outline="0" offset="IV256" axis="axisRow" fieldPosition="0">
        <references count="1">
          <reference field="4294967294" count="1" selected="0">
            <x v="26"/>
          </reference>
        </references>
      </pivotArea>
    </format>
    <format dxfId="3037">
      <pivotArea field="0" dataOnly="0" labelOnly="1" grandRow="1" outline="0" offset="IV256" axis="axisRow" fieldPosition="0">
        <references count="1">
          <reference field="4294967294" count="1" selected="0">
            <x v="27"/>
          </reference>
        </references>
      </pivotArea>
    </format>
    <format dxfId="3036">
      <pivotArea field="0" dataOnly="0" labelOnly="1" grandRow="1" outline="0" offset="IV256" axis="axisRow" fieldPosition="0">
        <references count="1">
          <reference field="4294967294" count="1" selected="0">
            <x v="28"/>
          </reference>
        </references>
      </pivotArea>
    </format>
    <format dxfId="3035">
      <pivotArea field="0" dataOnly="0" labelOnly="1" grandRow="1" outline="0" offset="IV256" axis="axisRow" fieldPosition="0">
        <references count="1">
          <reference field="4294967294" count="1" selected="0">
            <x v="29"/>
          </reference>
        </references>
      </pivotArea>
    </format>
    <format dxfId="3034">
      <pivotArea field="0" dataOnly="0" labelOnly="1" grandRow="1" outline="0" offset="IV256" axis="axisRow" fieldPosition="0">
        <references count="1">
          <reference field="4294967294" count="1" selected="0">
            <x v="30"/>
          </reference>
        </references>
      </pivotArea>
    </format>
    <format dxfId="3033">
      <pivotArea field="0" dataOnly="0" labelOnly="1" grandRow="1" outline="0" offset="IV256" axis="axisRow" fieldPosition="0">
        <references count="1">
          <reference field="4294967294" count="1" selected="0">
            <x v="31"/>
          </reference>
        </references>
      </pivotArea>
    </format>
    <format dxfId="3032">
      <pivotArea field="0" dataOnly="0" labelOnly="1" grandRow="1" outline="0" offset="IV256" axis="axisRow" fieldPosition="0">
        <references count="1">
          <reference field="4294967294" count="1" selected="0">
            <x v="32"/>
          </reference>
        </references>
      </pivotArea>
    </format>
    <format dxfId="3031">
      <pivotArea field="0" dataOnly="0" labelOnly="1" grandRow="1" outline="0" offset="IV256" axis="axisRow" fieldPosition="0">
        <references count="1">
          <reference field="4294967294" count="1" selected="0">
            <x v="33"/>
          </reference>
        </references>
      </pivotArea>
    </format>
    <format dxfId="3030">
      <pivotArea field="0" dataOnly="0" labelOnly="1" grandRow="1" outline="0" offset="IV256" axis="axisRow" fieldPosition="0">
        <references count="1">
          <reference field="4294967294" count="1" selected="0">
            <x v="34"/>
          </reference>
        </references>
      </pivotArea>
    </format>
    <format dxfId="3029">
      <pivotArea field="0" dataOnly="0" labelOnly="1" grandRow="1" outline="0" offset="IV256" axis="axisRow" fieldPosition="0">
        <references count="1">
          <reference field="4294967294" count="1" selected="0">
            <x v="35"/>
          </reference>
        </references>
      </pivotArea>
    </format>
    <format dxfId="3028">
      <pivotArea type="all" dataOnly="0" outline="0" fieldPosition="0"/>
    </format>
    <format dxfId="3027">
      <pivotArea type="all" dataOnly="0" outline="0" fieldPosition="0"/>
    </format>
    <format dxfId="3026">
      <pivotArea outline="0" fieldPosition="0">
        <references count="2">
          <reference field="4" count="1" selected="0">
            <x v="8"/>
          </reference>
          <reference field="70" count="1" selected="0">
            <x v="1"/>
          </reference>
        </references>
      </pivotArea>
    </format>
    <format dxfId="3025">
      <pivotArea dataOnly="0" labelOnly="1" outline="0" offset="B256" fieldPosition="0">
        <references count="1">
          <reference field="70" count="1">
            <x v="1"/>
          </reference>
        </references>
      </pivotArea>
    </format>
    <format dxfId="3024">
      <pivotArea dataOnly="0" labelOnly="1" outline="0" fieldPosition="0">
        <references count="2">
          <reference field="4" count="1">
            <x v="8"/>
          </reference>
          <reference field="70" count="1" selected="0">
            <x v="1"/>
          </reference>
        </references>
      </pivotArea>
    </format>
    <format dxfId="3023">
      <pivotArea outline="0" fieldPosition="0">
        <references count="2">
          <reference field="4" count="1" selected="0">
            <x v="7"/>
          </reference>
          <reference field="70" count="1" selected="0">
            <x v="1"/>
          </reference>
        </references>
      </pivotArea>
    </format>
    <format dxfId="3022">
      <pivotArea dataOnly="0" labelOnly="1" outline="0" fieldPosition="0">
        <references count="2">
          <reference field="4" count="1">
            <x v="7"/>
          </reference>
          <reference field="70" count="1" selected="0">
            <x v="1"/>
          </reference>
        </references>
      </pivotArea>
    </format>
    <format dxfId="3021">
      <pivotArea dataOnly="0" labelOnly="1" outline="0" offset="A256" fieldPosition="0">
        <references count="1">
          <reference field="70" count="1">
            <x v="1"/>
          </reference>
        </references>
      </pivotArea>
    </format>
    <format dxfId="3020">
      <pivotArea outline="0" fieldPosition="0">
        <references count="2">
          <reference field="4" count="1" selected="0">
            <x v="11"/>
          </reference>
          <reference field="70" count="1" selected="0">
            <x v="2"/>
          </reference>
        </references>
      </pivotArea>
    </format>
    <format dxfId="3019">
      <pivotArea dataOnly="0" labelOnly="1" outline="0" fieldPosition="0">
        <references count="2">
          <reference field="4" count="1">
            <x v="11"/>
          </reference>
          <reference field="70" count="1" selected="0">
            <x v="2"/>
          </reference>
        </references>
      </pivotArea>
    </format>
    <format dxfId="3018">
      <pivotArea outline="0" fieldPosition="0">
        <references count="2">
          <reference field="4294967294" count="1" selected="0">
            <x v="35"/>
          </reference>
          <reference field="0" count="1" selected="0">
            <x v="0"/>
          </reference>
        </references>
      </pivotArea>
    </format>
    <format dxfId="3017">
      <pivotArea dataOnly="0" labelOnly="1" outline="0" offset="IV256" fieldPosition="0">
        <references count="1">
          <reference field="0" count="1">
            <x v="0"/>
          </reference>
        </references>
      </pivotArea>
    </format>
    <format dxfId="3016">
      <pivotArea dataOnly="0" labelOnly="1" outline="0" fieldPosition="0">
        <references count="2">
          <reference field="4294967294" count="1">
            <x v="35"/>
          </reference>
          <reference field="0" count="1" selected="0">
            <x v="0"/>
          </reference>
        </references>
      </pivotArea>
    </format>
    <format dxfId="3015">
      <pivotArea outline="0" fieldPosition="0">
        <references count="1">
          <reference field="70" count="3" selected="0" defaultSubtotal="1">
            <x v="0"/>
            <x v="1"/>
            <x v="2"/>
          </reference>
        </references>
      </pivotArea>
    </format>
    <format dxfId="3014">
      <pivotArea dataOnly="0" labelOnly="1" outline="0" offset="IV256" fieldPosition="0">
        <references count="1">
          <reference field="70" count="1" defaultSubtotal="1">
            <x v="0"/>
          </reference>
        </references>
      </pivotArea>
    </format>
    <format dxfId="3013">
      <pivotArea dataOnly="0" labelOnly="1" outline="0" offset="IV256" fieldPosition="0">
        <references count="1">
          <reference field="70" count="1" defaultSubtotal="1">
            <x v="1"/>
          </reference>
        </references>
      </pivotArea>
    </format>
    <format dxfId="3012">
      <pivotArea dataOnly="0" labelOnly="1" outline="0" offset="IV256" fieldPosition="0">
        <references count="1">
          <reference field="70" count="1" defaultSubtotal="1">
            <x v="2"/>
          </reference>
        </references>
      </pivotArea>
    </format>
    <format dxfId="3011">
      <pivotArea dataOnly="0" labelOnly="1" outline="0" fieldPosition="0">
        <references count="2">
          <reference field="4" count="7">
            <x v="0"/>
            <x v="1"/>
            <x v="2"/>
            <x v="3"/>
            <x v="4"/>
            <x v="5"/>
            <x v="6"/>
          </reference>
          <reference field="70" count="1" selected="0">
            <x v="0"/>
          </reference>
        </references>
      </pivotArea>
    </format>
    <format dxfId="3010">
      <pivotArea dataOnly="0" labelOnly="1" outline="0" fieldPosition="0">
        <references count="2">
          <reference field="4" count="4">
            <x v="7"/>
            <x v="8"/>
            <x v="9"/>
            <x v="10"/>
          </reference>
          <reference field="70" count="1" selected="0">
            <x v="1"/>
          </reference>
        </references>
      </pivotArea>
    </format>
    <format dxfId="3009">
      <pivotArea dataOnly="0" labelOnly="1" outline="0" fieldPosition="0">
        <references count="2">
          <reference field="4" count="2">
            <x v="11"/>
            <x v="12"/>
          </reference>
          <reference field="70" count="1" selected="0">
            <x v="2"/>
          </reference>
        </references>
      </pivotArea>
    </format>
    <format dxfId="3008">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3007">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3006">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3005">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3004">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3003">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3002">
      <pivotArea outline="0" fieldPosition="0">
        <references count="4">
          <reference field="4294967294" count="1" selected="0">
            <x v="20"/>
          </reference>
          <reference field="0" count="1" selected="0">
            <x v="3"/>
          </reference>
          <reference field="4" count="2" selected="0">
            <x v="0"/>
            <x v="1"/>
          </reference>
          <reference field="70" count="1" selected="0">
            <x v="0"/>
          </reference>
        </references>
      </pivotArea>
    </format>
    <format dxfId="3001">
      <pivotArea outline="0" fieldPosition="0">
        <references count="4">
          <reference field="4294967294" count="1" selected="0">
            <x v="26"/>
          </reference>
          <reference field="0" count="1" selected="0">
            <x v="3"/>
          </reference>
          <reference field="4" count="2" selected="0">
            <x v="0"/>
            <x v="1"/>
          </reference>
          <reference field="70" count="1" selected="0">
            <x v="0"/>
          </reference>
        </references>
      </pivotArea>
    </format>
    <format dxfId="3000">
      <pivotArea outline="0" fieldPosition="0">
        <references count="4">
          <reference field="4294967294" count="1" selected="0">
            <x v="32"/>
          </reference>
          <reference field="0" count="1" selected="0">
            <x v="3"/>
          </reference>
          <reference field="4" count="1" selected="0">
            <x v="2"/>
          </reference>
          <reference field="70" count="1" selected="0">
            <x v="0"/>
          </reference>
        </references>
      </pivotArea>
    </format>
    <format dxfId="2999">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2998">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2997">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2996">
      <pivotArea outline="0" fieldPosition="0">
        <references count="4">
          <reference field="4294967294" count="1" selected="0">
            <x v="20"/>
          </reference>
          <reference field="0" count="1" selected="0">
            <x v="10"/>
          </reference>
          <reference field="4" count="1" selected="0">
            <x v="4"/>
          </reference>
          <reference field="70" count="1" selected="0">
            <x v="0"/>
          </reference>
        </references>
      </pivotArea>
    </format>
    <format dxfId="2995">
      <pivotArea outline="0" fieldPosition="0">
        <references count="4">
          <reference field="4294967294" count="1" selected="0">
            <x v="29"/>
          </reference>
          <reference field="0" count="1" selected="0">
            <x v="10"/>
          </reference>
          <reference field="4" count="1" selected="0">
            <x v="4"/>
          </reference>
          <reference field="70" count="1" selected="0">
            <x v="0"/>
          </reference>
        </references>
      </pivotArea>
    </format>
    <format dxfId="2994">
      <pivotArea outline="0" fieldPosition="0">
        <references count="4">
          <reference field="4294967294" count="1" selected="0">
            <x v="26"/>
          </reference>
          <reference field="0" count="1" selected="0">
            <x v="11"/>
          </reference>
          <reference field="4" count="1" selected="0">
            <x v="4"/>
          </reference>
          <reference field="70" count="1" selected="0">
            <x v="0"/>
          </reference>
        </references>
      </pivotArea>
    </format>
    <format dxfId="2993">
      <pivotArea outline="0" fieldPosition="0">
        <references count="4">
          <reference field="4294967294" count="1" selected="0">
            <x v="20"/>
          </reference>
          <reference field="0" count="1" selected="0">
            <x v="11"/>
          </reference>
          <reference field="4" count="1" selected="0">
            <x v="4"/>
          </reference>
          <reference field="70" count="1" selected="0">
            <x v="0"/>
          </reference>
        </references>
      </pivotArea>
    </format>
    <format dxfId="2992">
      <pivotArea outline="0" fieldPosition="0">
        <references count="4">
          <reference field="4294967294" count="1" selected="0">
            <x v="26"/>
          </reference>
          <reference field="0" count="1" selected="0">
            <x v="12"/>
          </reference>
          <reference field="4" count="1" selected="0">
            <x v="2"/>
          </reference>
          <reference field="70" count="1" selected="0">
            <x v="0"/>
          </reference>
        </references>
      </pivotArea>
    </format>
    <format dxfId="2991">
      <pivotArea outline="0" fieldPosition="0">
        <references count="4">
          <reference field="4294967294" count="1" selected="0">
            <x v="20"/>
          </reference>
          <reference field="0" count="1" selected="0">
            <x v="13"/>
          </reference>
          <reference field="4" count="1" selected="0">
            <x v="5"/>
          </reference>
          <reference field="70" count="1" selected="0">
            <x v="0"/>
          </reference>
        </references>
      </pivotArea>
    </format>
    <format dxfId="2990">
      <pivotArea outline="0" fieldPosition="0">
        <references count="4">
          <reference field="4294967294" count="1" selected="0">
            <x v="26"/>
          </reference>
          <reference field="0" count="1" selected="0">
            <x v="13"/>
          </reference>
          <reference field="4" count="1" selected="0">
            <x v="5"/>
          </reference>
          <reference field="70" count="1" selected="0">
            <x v="0"/>
          </reference>
        </references>
      </pivotArea>
    </format>
    <format dxfId="2989">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2988">
      <pivotArea outline="0" fieldPosition="0">
        <references count="4">
          <reference field="4294967294" count="1" selected="0">
            <x v="11"/>
          </reference>
          <reference field="0" count="1" selected="0">
            <x v="14"/>
          </reference>
          <reference field="4" count="1" selected="0">
            <x v="5"/>
          </reference>
          <reference field="70" count="1" selected="0">
            <x v="0"/>
          </reference>
        </references>
      </pivotArea>
    </format>
    <format dxfId="2987">
      <pivotArea outline="0" fieldPosition="0">
        <references count="4">
          <reference field="4294967294" count="1" selected="0">
            <x v="23"/>
          </reference>
          <reference field="0" count="1" selected="0">
            <x v="15"/>
          </reference>
          <reference field="4" count="1" selected="0">
            <x v="5"/>
          </reference>
          <reference field="70" count="1" selected="0">
            <x v="0"/>
          </reference>
        </references>
      </pivotArea>
    </format>
    <format dxfId="2986">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2985">
      <pivotArea outline="0" fieldPosition="0">
        <references count="4">
          <reference field="4294967294" count="1" selected="0">
            <x v="5"/>
          </reference>
          <reference field="0" count="1" selected="0">
            <x v="1"/>
          </reference>
          <reference field="4" count="1" selected="0">
            <x v="8"/>
          </reference>
          <reference field="70" count="1" selected="0">
            <x v="1"/>
          </reference>
        </references>
      </pivotArea>
    </format>
    <format dxfId="2984">
      <pivotArea outline="0" fieldPosition="0">
        <references count="4">
          <reference field="4294967294" count="1" selected="0">
            <x v="2"/>
          </reference>
          <reference field="0" count="1" selected="0">
            <x v="1"/>
          </reference>
          <reference field="4" count="1" selected="0">
            <x v="8"/>
          </reference>
          <reference field="70" count="1" selected="0">
            <x v="1"/>
          </reference>
        </references>
      </pivotArea>
    </format>
    <format dxfId="2983">
      <pivotArea outline="0" fieldPosition="0">
        <references count="4">
          <reference field="4294967294" count="1" selected="0">
            <x v="2"/>
          </reference>
          <reference field="0" count="1" selected="0">
            <x v="2"/>
          </reference>
          <reference field="4" count="1" selected="0">
            <x v="9"/>
          </reference>
          <reference field="70" count="1" selected="0">
            <x v="1"/>
          </reference>
        </references>
      </pivotArea>
    </format>
    <format dxfId="2982">
      <pivotArea outline="0" fieldPosition="0">
        <references count="4">
          <reference field="4294967294" count="1" selected="0">
            <x v="8"/>
          </reference>
          <reference field="0" count="1" selected="0">
            <x v="2"/>
          </reference>
          <reference field="4" count="1" selected="0">
            <x v="9"/>
          </reference>
          <reference field="70" count="1" selected="0">
            <x v="1"/>
          </reference>
        </references>
      </pivotArea>
    </format>
    <format dxfId="2981">
      <pivotArea outline="0" fieldPosition="0">
        <references count="4">
          <reference field="4294967294" count="1" selected="0">
            <x v="2"/>
          </reference>
          <reference field="0" count="1" selected="0">
            <x v="3"/>
          </reference>
          <reference field="4" count="1" selected="0">
            <x v="10"/>
          </reference>
          <reference field="70" count="1" selected="0">
            <x v="1"/>
          </reference>
        </references>
      </pivotArea>
    </format>
    <format dxfId="2980">
      <pivotArea outline="0" fieldPosition="0">
        <references count="4">
          <reference field="4294967294" count="1" selected="0">
            <x v="14"/>
          </reference>
          <reference field="0" count="1" selected="0">
            <x v="3"/>
          </reference>
          <reference field="4" count="1" selected="0">
            <x v="10"/>
          </reference>
          <reference field="70" count="1" selected="0">
            <x v="1"/>
          </reference>
        </references>
      </pivotArea>
    </format>
    <format dxfId="2979">
      <pivotArea outline="0" fieldPosition="0">
        <references count="4">
          <reference field="4294967294" count="1" selected="0">
            <x v="2"/>
          </reference>
          <reference field="0" count="1" selected="0">
            <x v="5"/>
          </reference>
          <reference field="4" count="1" selected="0">
            <x v="10"/>
          </reference>
          <reference field="70" count="1" selected="0">
            <x v="1"/>
          </reference>
        </references>
      </pivotArea>
    </format>
    <format dxfId="2978">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2977">
      <pivotArea outline="0" fieldPosition="0">
        <references count="4">
          <reference field="4294967294" count="1" selected="0">
            <x v="5"/>
          </reference>
          <reference field="0" count="1" selected="0">
            <x v="5"/>
          </reference>
          <reference field="4" count="1" selected="0">
            <x v="10"/>
          </reference>
          <reference field="70" count="1" selected="0">
            <x v="1"/>
          </reference>
        </references>
      </pivotArea>
    </format>
    <format dxfId="2976">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2975">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2974">
      <pivotArea outline="0" fieldPosition="0">
        <references count="4">
          <reference field="4294967294" count="1" selected="0">
            <x v="26"/>
          </reference>
          <reference field="0" count="1" selected="0">
            <x v="15"/>
          </reference>
          <reference field="4" count="1" selected="0">
            <x v="9"/>
          </reference>
          <reference field="70" count="1" selected="0">
            <x v="1"/>
          </reference>
        </references>
      </pivotArea>
    </format>
    <format dxfId="2973">
      <pivotArea outline="0" fieldPosition="0">
        <references count="4">
          <reference field="4294967294" count="1" selected="0">
            <x v="14"/>
          </reference>
          <reference field="0" count="1" selected="0">
            <x v="0"/>
          </reference>
          <reference field="4" count="1" selected="0">
            <x v="8"/>
          </reference>
          <reference field="70" count="1" selected="0">
            <x v="1"/>
          </reference>
        </references>
      </pivotArea>
    </format>
    <format dxfId="2972">
      <pivotArea outline="0" fieldPosition="0">
        <references count="4">
          <reference field="4294967294" count="1" selected="0">
            <x v="32"/>
          </reference>
          <reference field="0" count="1" selected="0">
            <x v="9"/>
          </reference>
          <reference field="4" count="1" selected="0">
            <x v="2"/>
          </reference>
          <reference field="70" count="1" selected="0">
            <x v="0"/>
          </reference>
        </references>
      </pivotArea>
    </format>
    <format dxfId="2971">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2970">
      <pivotArea outline="0" fieldPosition="0">
        <references count="4">
          <reference field="4294967294" count="1" selected="0">
            <x v="29"/>
          </reference>
          <reference field="0" count="1" selected="0">
            <x v="11"/>
          </reference>
          <reference field="4" count="1" selected="0">
            <x v="2"/>
          </reference>
          <reference field="70" count="1" selected="0">
            <x v="0"/>
          </reference>
        </references>
      </pivotArea>
    </format>
    <format dxfId="2969">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2968">
      <pivotArea outline="0" fieldPosition="0">
        <references count="4">
          <reference field="4294967294" count="1" selected="0">
            <x v="26"/>
          </reference>
          <reference field="0" count="1" selected="0">
            <x v="5"/>
          </reference>
          <reference field="4" count="1" selected="0">
            <x v="0"/>
          </reference>
          <reference field="70" count="1" selected="0">
            <x v="0"/>
          </reference>
        </references>
      </pivotArea>
    </format>
    <format dxfId="2967">
      <pivotArea type="all" dataOnly="0" outline="0" fieldPosition="0"/>
    </format>
    <format dxfId="2966">
      <pivotArea outline="0" fieldPosition="0"/>
    </format>
    <format dxfId="2965">
      <pivotArea type="origin" dataOnly="0" labelOnly="1" outline="0" fieldPosition="0"/>
    </format>
    <format dxfId="2964">
      <pivotArea field="70" type="button" dataOnly="0" labelOnly="1" outline="0" axis="axisCol" fieldPosition="0"/>
    </format>
    <format dxfId="2963">
      <pivotArea field="4" type="button" dataOnly="0" labelOnly="1" outline="0" axis="axisCol" fieldPosition="1"/>
    </format>
    <format dxfId="2962">
      <pivotArea type="topRight" dataOnly="0" labelOnly="1" outline="0" fieldPosition="0"/>
    </format>
    <format dxfId="2961">
      <pivotArea field="0" type="button" dataOnly="0" labelOnly="1" outline="0" axis="axisRow" fieldPosition="0"/>
    </format>
    <format dxfId="2960">
      <pivotArea field="-2" type="button" dataOnly="0" labelOnly="1" outline="0" axis="axisRow" fieldPosition="1"/>
    </format>
    <format dxfId="2959">
      <pivotArea dataOnly="0" labelOnly="1" outline="0" fieldPosition="0">
        <references count="1">
          <reference field="0" count="0"/>
        </references>
      </pivotArea>
    </format>
    <format dxfId="2958">
      <pivotArea field="0" dataOnly="0" labelOnly="1" grandRow="1" outline="0" axis="axisRow" fieldPosition="0">
        <references count="1">
          <reference field="4294967294" count="1" selected="0">
            <x v="0"/>
          </reference>
        </references>
      </pivotArea>
    </format>
    <format dxfId="2957">
      <pivotArea field="0" dataOnly="0" labelOnly="1" grandRow="1" outline="0" axis="axisRow" fieldPosition="0">
        <references count="1">
          <reference field="4294967294" count="1" selected="0">
            <x v="1"/>
          </reference>
        </references>
      </pivotArea>
    </format>
    <format dxfId="2956">
      <pivotArea field="0" dataOnly="0" labelOnly="1" grandRow="1" outline="0" axis="axisRow" fieldPosition="0">
        <references count="1">
          <reference field="4294967294" count="1" selected="0">
            <x v="2"/>
          </reference>
        </references>
      </pivotArea>
    </format>
    <format dxfId="2955">
      <pivotArea field="0" dataOnly="0" labelOnly="1" grandRow="1" outline="0" axis="axisRow" fieldPosition="0">
        <references count="1">
          <reference field="4294967294" count="1" selected="0">
            <x v="3"/>
          </reference>
        </references>
      </pivotArea>
    </format>
    <format dxfId="2954">
      <pivotArea field="0" dataOnly="0" labelOnly="1" grandRow="1" outline="0" axis="axisRow" fieldPosition="0">
        <references count="1">
          <reference field="4294967294" count="1" selected="0">
            <x v="4"/>
          </reference>
        </references>
      </pivotArea>
    </format>
    <format dxfId="2953">
      <pivotArea field="0" dataOnly="0" labelOnly="1" grandRow="1" outline="0" axis="axisRow" fieldPosition="0">
        <references count="1">
          <reference field="4294967294" count="1" selected="0">
            <x v="5"/>
          </reference>
        </references>
      </pivotArea>
    </format>
    <format dxfId="2952">
      <pivotArea field="0" dataOnly="0" labelOnly="1" grandRow="1" outline="0" axis="axisRow" fieldPosition="0">
        <references count="1">
          <reference field="4294967294" count="1" selected="0">
            <x v="6"/>
          </reference>
        </references>
      </pivotArea>
    </format>
    <format dxfId="2951">
      <pivotArea field="0" dataOnly="0" labelOnly="1" grandRow="1" outline="0" axis="axisRow" fieldPosition="0">
        <references count="1">
          <reference field="4294967294" count="1" selected="0">
            <x v="7"/>
          </reference>
        </references>
      </pivotArea>
    </format>
    <format dxfId="2950">
      <pivotArea field="0" dataOnly="0" labelOnly="1" grandRow="1" outline="0" axis="axisRow" fieldPosition="0">
        <references count="1">
          <reference field="4294967294" count="1" selected="0">
            <x v="8"/>
          </reference>
        </references>
      </pivotArea>
    </format>
    <format dxfId="2949">
      <pivotArea field="0" dataOnly="0" labelOnly="1" grandRow="1" outline="0" axis="axisRow" fieldPosition="0">
        <references count="1">
          <reference field="4294967294" count="1" selected="0">
            <x v="9"/>
          </reference>
        </references>
      </pivotArea>
    </format>
    <format dxfId="2948">
      <pivotArea field="0" dataOnly="0" labelOnly="1" grandRow="1" outline="0" axis="axisRow" fieldPosition="0">
        <references count="1">
          <reference field="4294967294" count="1" selected="0">
            <x v="10"/>
          </reference>
        </references>
      </pivotArea>
    </format>
    <format dxfId="2947">
      <pivotArea field="0" dataOnly="0" labelOnly="1" grandRow="1" outline="0" axis="axisRow" fieldPosition="0">
        <references count="1">
          <reference field="4294967294" count="1" selected="0">
            <x v="11"/>
          </reference>
        </references>
      </pivotArea>
    </format>
    <format dxfId="2946">
      <pivotArea field="0" dataOnly="0" labelOnly="1" grandRow="1" outline="0" axis="axisRow" fieldPosition="0">
        <references count="1">
          <reference field="4294967294" count="1" selected="0">
            <x v="12"/>
          </reference>
        </references>
      </pivotArea>
    </format>
    <format dxfId="2945">
      <pivotArea field="0" dataOnly="0" labelOnly="1" grandRow="1" outline="0" axis="axisRow" fieldPosition="0">
        <references count="1">
          <reference field="4294967294" count="1" selected="0">
            <x v="13"/>
          </reference>
        </references>
      </pivotArea>
    </format>
    <format dxfId="2944">
      <pivotArea field="0" dataOnly="0" labelOnly="1" grandRow="1" outline="0" axis="axisRow" fieldPosition="0">
        <references count="1">
          <reference field="4294967294" count="1" selected="0">
            <x v="14"/>
          </reference>
        </references>
      </pivotArea>
    </format>
    <format dxfId="2943">
      <pivotArea field="0" dataOnly="0" labelOnly="1" grandRow="1" outline="0" axis="axisRow" fieldPosition="0">
        <references count="1">
          <reference field="4294967294" count="1" selected="0">
            <x v="15"/>
          </reference>
        </references>
      </pivotArea>
    </format>
    <format dxfId="2942">
      <pivotArea field="0" dataOnly="0" labelOnly="1" grandRow="1" outline="0" axis="axisRow" fieldPosition="0">
        <references count="1">
          <reference field="4294967294" count="1" selected="0">
            <x v="16"/>
          </reference>
        </references>
      </pivotArea>
    </format>
    <format dxfId="2941">
      <pivotArea field="0" dataOnly="0" labelOnly="1" grandRow="1" outline="0" axis="axisRow" fieldPosition="0">
        <references count="1">
          <reference field="4294967294" count="1" selected="0">
            <x v="17"/>
          </reference>
        </references>
      </pivotArea>
    </format>
    <format dxfId="2940">
      <pivotArea field="0" dataOnly="0" labelOnly="1" grandRow="1" outline="0" axis="axisRow" fieldPosition="0">
        <references count="1">
          <reference field="4294967294" count="1" selected="0">
            <x v="18"/>
          </reference>
        </references>
      </pivotArea>
    </format>
    <format dxfId="2939">
      <pivotArea field="0" dataOnly="0" labelOnly="1" grandRow="1" outline="0" axis="axisRow" fieldPosition="0">
        <references count="1">
          <reference field="4294967294" count="1" selected="0">
            <x v="19"/>
          </reference>
        </references>
      </pivotArea>
    </format>
    <format dxfId="2938">
      <pivotArea field="0" dataOnly="0" labelOnly="1" grandRow="1" outline="0" axis="axisRow" fieldPosition="0">
        <references count="1">
          <reference field="4294967294" count="1" selected="0">
            <x v="20"/>
          </reference>
        </references>
      </pivotArea>
    </format>
    <format dxfId="2937">
      <pivotArea field="0" dataOnly="0" labelOnly="1" grandRow="1" outline="0" axis="axisRow" fieldPosition="0">
        <references count="1">
          <reference field="4294967294" count="1" selected="0">
            <x v="21"/>
          </reference>
        </references>
      </pivotArea>
    </format>
    <format dxfId="2936">
      <pivotArea field="0" dataOnly="0" labelOnly="1" grandRow="1" outline="0" axis="axisRow" fieldPosition="0">
        <references count="1">
          <reference field="4294967294" count="1" selected="0">
            <x v="22"/>
          </reference>
        </references>
      </pivotArea>
    </format>
    <format dxfId="2935">
      <pivotArea field="0" dataOnly="0" labelOnly="1" grandRow="1" outline="0" axis="axisRow" fieldPosition="0">
        <references count="1">
          <reference field="4294967294" count="1" selected="0">
            <x v="23"/>
          </reference>
        </references>
      </pivotArea>
    </format>
    <format dxfId="2934">
      <pivotArea field="0" dataOnly="0" labelOnly="1" grandRow="1" outline="0" axis="axisRow" fieldPosition="0">
        <references count="1">
          <reference field="4294967294" count="1" selected="0">
            <x v="24"/>
          </reference>
        </references>
      </pivotArea>
    </format>
    <format dxfId="2933">
      <pivotArea field="0" dataOnly="0" labelOnly="1" grandRow="1" outline="0" axis="axisRow" fieldPosition="0">
        <references count="1">
          <reference field="4294967294" count="1" selected="0">
            <x v="25"/>
          </reference>
        </references>
      </pivotArea>
    </format>
    <format dxfId="2932">
      <pivotArea field="0" dataOnly="0" labelOnly="1" grandRow="1" outline="0" axis="axisRow" fieldPosition="0">
        <references count="1">
          <reference field="4294967294" count="1" selected="0">
            <x v="26"/>
          </reference>
        </references>
      </pivotArea>
    </format>
    <format dxfId="2931">
      <pivotArea field="0" dataOnly="0" labelOnly="1" grandRow="1" outline="0" axis="axisRow" fieldPosition="0">
        <references count="1">
          <reference field="4294967294" count="1" selected="0">
            <x v="27"/>
          </reference>
        </references>
      </pivotArea>
    </format>
    <format dxfId="2930">
      <pivotArea field="0" dataOnly="0" labelOnly="1" grandRow="1" outline="0" axis="axisRow" fieldPosition="0">
        <references count="1">
          <reference field="4294967294" count="1" selected="0">
            <x v="28"/>
          </reference>
        </references>
      </pivotArea>
    </format>
    <format dxfId="2929">
      <pivotArea field="0" dataOnly="0" labelOnly="1" grandRow="1" outline="0" axis="axisRow" fieldPosition="0">
        <references count="1">
          <reference field="4294967294" count="1" selected="0">
            <x v="29"/>
          </reference>
        </references>
      </pivotArea>
    </format>
    <format dxfId="2928">
      <pivotArea field="0" dataOnly="0" labelOnly="1" grandRow="1" outline="0" axis="axisRow" fieldPosition="0">
        <references count="1">
          <reference field="4294967294" count="1" selected="0">
            <x v="30"/>
          </reference>
        </references>
      </pivotArea>
    </format>
    <format dxfId="2927">
      <pivotArea field="0" dataOnly="0" labelOnly="1" grandRow="1" outline="0" axis="axisRow" fieldPosition="0">
        <references count="1">
          <reference field="4294967294" count="1" selected="0">
            <x v="31"/>
          </reference>
        </references>
      </pivotArea>
    </format>
    <format dxfId="2926">
      <pivotArea field="0" dataOnly="0" labelOnly="1" grandRow="1" outline="0" axis="axisRow" fieldPosition="0">
        <references count="1">
          <reference field="4294967294" count="1" selected="0">
            <x v="32"/>
          </reference>
        </references>
      </pivotArea>
    </format>
    <format dxfId="2925">
      <pivotArea field="0" dataOnly="0" labelOnly="1" grandRow="1" outline="0" axis="axisRow" fieldPosition="0">
        <references count="1">
          <reference field="4294967294" count="1" selected="0">
            <x v="33"/>
          </reference>
        </references>
      </pivotArea>
    </format>
    <format dxfId="2924">
      <pivotArea field="0" dataOnly="0" labelOnly="1" grandRow="1" outline="0" axis="axisRow" fieldPosition="0">
        <references count="1">
          <reference field="4294967294" count="1" selected="0">
            <x v="34"/>
          </reference>
        </references>
      </pivotArea>
    </format>
    <format dxfId="2923">
      <pivotArea field="0" dataOnly="0" labelOnly="1" grandRow="1" outline="0" axis="axisRow" fieldPosition="0">
        <references count="1">
          <reference field="4294967294" count="1" selected="0">
            <x v="35"/>
          </reference>
        </references>
      </pivotArea>
    </format>
    <format dxfId="2922">
      <pivotArea field="0" dataOnly="0" labelOnly="1" grandRow="1" outline="0" axis="axisRow" fieldPosition="0">
        <references count="1">
          <reference field="4294967294" count="1" selected="0">
            <x v="0"/>
          </reference>
        </references>
      </pivotArea>
    </format>
    <format dxfId="2921">
      <pivotArea field="0" dataOnly="0" labelOnly="1" grandRow="1" outline="0" axis="axisRow" fieldPosition="0">
        <references count="1">
          <reference field="4294967294" count="1" selected="0">
            <x v="1"/>
          </reference>
        </references>
      </pivotArea>
    </format>
    <format dxfId="2920">
      <pivotArea field="0" dataOnly="0" labelOnly="1" grandRow="1" outline="0" axis="axisRow" fieldPosition="0">
        <references count="1">
          <reference field="4294967294" count="1" selected="0">
            <x v="2"/>
          </reference>
        </references>
      </pivotArea>
    </format>
    <format dxfId="2919">
      <pivotArea field="0" dataOnly="0" labelOnly="1" grandRow="1" outline="0" axis="axisRow" fieldPosition="0">
        <references count="1">
          <reference field="4294967294" count="1" selected="0">
            <x v="3"/>
          </reference>
        </references>
      </pivotArea>
    </format>
    <format dxfId="2918">
      <pivotArea field="0" dataOnly="0" labelOnly="1" grandRow="1" outline="0" axis="axisRow" fieldPosition="0">
        <references count="1">
          <reference field="4294967294" count="1" selected="0">
            <x v="4"/>
          </reference>
        </references>
      </pivotArea>
    </format>
    <format dxfId="2917">
      <pivotArea field="0" dataOnly="0" labelOnly="1" grandRow="1" outline="0" axis="axisRow" fieldPosition="0">
        <references count="1">
          <reference field="4294967294" count="1" selected="0">
            <x v="5"/>
          </reference>
        </references>
      </pivotArea>
    </format>
    <format dxfId="2916">
      <pivotArea field="0" dataOnly="0" labelOnly="1" grandRow="1" outline="0" axis="axisRow" fieldPosition="0">
        <references count="1">
          <reference field="4294967294" count="1" selected="0">
            <x v="6"/>
          </reference>
        </references>
      </pivotArea>
    </format>
    <format dxfId="2915">
      <pivotArea field="0" dataOnly="0" labelOnly="1" grandRow="1" outline="0" axis="axisRow" fieldPosition="0">
        <references count="1">
          <reference field="4294967294" count="1" selected="0">
            <x v="7"/>
          </reference>
        </references>
      </pivotArea>
    </format>
    <format dxfId="2914">
      <pivotArea field="0" dataOnly="0" labelOnly="1" grandRow="1" outline="0" axis="axisRow" fieldPosition="0">
        <references count="1">
          <reference field="4294967294" count="1" selected="0">
            <x v="8"/>
          </reference>
        </references>
      </pivotArea>
    </format>
    <format dxfId="2913">
      <pivotArea field="0" dataOnly="0" labelOnly="1" grandRow="1" outline="0" axis="axisRow" fieldPosition="0">
        <references count="1">
          <reference field="4294967294" count="1" selected="0">
            <x v="9"/>
          </reference>
        </references>
      </pivotArea>
    </format>
    <format dxfId="2912">
      <pivotArea field="0" dataOnly="0" labelOnly="1" grandRow="1" outline="0" axis="axisRow" fieldPosition="0">
        <references count="1">
          <reference field="4294967294" count="1" selected="0">
            <x v="10"/>
          </reference>
        </references>
      </pivotArea>
    </format>
    <format dxfId="2911">
      <pivotArea field="0" dataOnly="0" labelOnly="1" grandRow="1" outline="0" axis="axisRow" fieldPosition="0">
        <references count="1">
          <reference field="4294967294" count="1" selected="0">
            <x v="11"/>
          </reference>
        </references>
      </pivotArea>
    </format>
    <format dxfId="2910">
      <pivotArea field="0" dataOnly="0" labelOnly="1" grandRow="1" outline="0" axis="axisRow" fieldPosition="0">
        <references count="1">
          <reference field="4294967294" count="1" selected="0">
            <x v="12"/>
          </reference>
        </references>
      </pivotArea>
    </format>
    <format dxfId="2909">
      <pivotArea field="0" dataOnly="0" labelOnly="1" grandRow="1" outline="0" axis="axisRow" fieldPosition="0">
        <references count="1">
          <reference field="4294967294" count="1" selected="0">
            <x v="13"/>
          </reference>
        </references>
      </pivotArea>
    </format>
    <format dxfId="2908">
      <pivotArea field="0" dataOnly="0" labelOnly="1" grandRow="1" outline="0" axis="axisRow" fieldPosition="0">
        <references count="1">
          <reference field="4294967294" count="1" selected="0">
            <x v="14"/>
          </reference>
        </references>
      </pivotArea>
    </format>
    <format dxfId="2907">
      <pivotArea field="0" dataOnly="0" labelOnly="1" grandRow="1" outline="0" axis="axisRow" fieldPosition="0">
        <references count="1">
          <reference field="4294967294" count="1" selected="0">
            <x v="15"/>
          </reference>
        </references>
      </pivotArea>
    </format>
    <format dxfId="2906">
      <pivotArea field="0" dataOnly="0" labelOnly="1" grandRow="1" outline="0" axis="axisRow" fieldPosition="0">
        <references count="1">
          <reference field="4294967294" count="1" selected="0">
            <x v="16"/>
          </reference>
        </references>
      </pivotArea>
    </format>
    <format dxfId="2905">
      <pivotArea field="0" dataOnly="0" labelOnly="1" grandRow="1" outline="0" axis="axisRow" fieldPosition="0">
        <references count="1">
          <reference field="4294967294" count="1" selected="0">
            <x v="17"/>
          </reference>
        </references>
      </pivotArea>
    </format>
    <format dxfId="2904">
      <pivotArea field="0" dataOnly="0" labelOnly="1" grandRow="1" outline="0" axis="axisRow" fieldPosition="0">
        <references count="1">
          <reference field="4294967294" count="1" selected="0">
            <x v="18"/>
          </reference>
        </references>
      </pivotArea>
    </format>
    <format dxfId="2903">
      <pivotArea field="0" dataOnly="0" labelOnly="1" grandRow="1" outline="0" axis="axisRow" fieldPosition="0">
        <references count="1">
          <reference field="4294967294" count="1" selected="0">
            <x v="19"/>
          </reference>
        </references>
      </pivotArea>
    </format>
    <format dxfId="2902">
      <pivotArea field="0" dataOnly="0" labelOnly="1" grandRow="1" outline="0" axis="axisRow" fieldPosition="0">
        <references count="1">
          <reference field="4294967294" count="1" selected="0">
            <x v="20"/>
          </reference>
        </references>
      </pivotArea>
    </format>
    <format dxfId="2901">
      <pivotArea field="0" dataOnly="0" labelOnly="1" grandRow="1" outline="0" axis="axisRow" fieldPosition="0">
        <references count="1">
          <reference field="4294967294" count="1" selected="0">
            <x v="21"/>
          </reference>
        </references>
      </pivotArea>
    </format>
    <format dxfId="2900">
      <pivotArea field="0" dataOnly="0" labelOnly="1" grandRow="1" outline="0" axis="axisRow" fieldPosition="0">
        <references count="1">
          <reference field="4294967294" count="1" selected="0">
            <x v="22"/>
          </reference>
        </references>
      </pivotArea>
    </format>
    <format dxfId="2899">
      <pivotArea field="0" dataOnly="0" labelOnly="1" grandRow="1" outline="0" axis="axisRow" fieldPosition="0">
        <references count="1">
          <reference field="4294967294" count="1" selected="0">
            <x v="23"/>
          </reference>
        </references>
      </pivotArea>
    </format>
    <format dxfId="2898">
      <pivotArea field="0" dataOnly="0" labelOnly="1" grandRow="1" outline="0" axis="axisRow" fieldPosition="0">
        <references count="1">
          <reference field="4294967294" count="1" selected="0">
            <x v="24"/>
          </reference>
        </references>
      </pivotArea>
    </format>
    <format dxfId="2897">
      <pivotArea field="0" dataOnly="0" labelOnly="1" grandRow="1" outline="0" axis="axisRow" fieldPosition="0">
        <references count="1">
          <reference field="4294967294" count="1" selected="0">
            <x v="25"/>
          </reference>
        </references>
      </pivotArea>
    </format>
    <format dxfId="2896">
      <pivotArea field="0" dataOnly="0" labelOnly="1" grandRow="1" outline="0" axis="axisRow" fieldPosition="0">
        <references count="1">
          <reference field="4294967294" count="1" selected="0">
            <x v="26"/>
          </reference>
        </references>
      </pivotArea>
    </format>
    <format dxfId="2895">
      <pivotArea field="0" dataOnly="0" labelOnly="1" grandRow="1" outline="0" axis="axisRow" fieldPosition="0">
        <references count="1">
          <reference field="4294967294" count="1" selected="0">
            <x v="27"/>
          </reference>
        </references>
      </pivotArea>
    </format>
    <format dxfId="2894">
      <pivotArea field="0" dataOnly="0" labelOnly="1" grandRow="1" outline="0" axis="axisRow" fieldPosition="0">
        <references count="1">
          <reference field="4294967294" count="1" selected="0">
            <x v="28"/>
          </reference>
        </references>
      </pivotArea>
    </format>
    <format dxfId="2893">
      <pivotArea field="0" dataOnly="0" labelOnly="1" grandRow="1" outline="0" axis="axisRow" fieldPosition="0">
        <references count="1">
          <reference field="4294967294" count="1" selected="0">
            <x v="29"/>
          </reference>
        </references>
      </pivotArea>
    </format>
    <format dxfId="2892">
      <pivotArea field="0" dataOnly="0" labelOnly="1" grandRow="1" outline="0" axis="axisRow" fieldPosition="0">
        <references count="1">
          <reference field="4294967294" count="1" selected="0">
            <x v="30"/>
          </reference>
        </references>
      </pivotArea>
    </format>
    <format dxfId="2891">
      <pivotArea field="0" dataOnly="0" labelOnly="1" grandRow="1" outline="0" axis="axisRow" fieldPosition="0">
        <references count="1">
          <reference field="4294967294" count="1" selected="0">
            <x v="31"/>
          </reference>
        </references>
      </pivotArea>
    </format>
    <format dxfId="2890">
      <pivotArea field="0" dataOnly="0" labelOnly="1" grandRow="1" outline="0" axis="axisRow" fieldPosition="0">
        <references count="1">
          <reference field="4294967294" count="1" selected="0">
            <x v="32"/>
          </reference>
        </references>
      </pivotArea>
    </format>
    <format dxfId="2889">
      <pivotArea field="0" dataOnly="0" labelOnly="1" grandRow="1" outline="0" axis="axisRow" fieldPosition="0">
        <references count="1">
          <reference field="4294967294" count="1" selected="0">
            <x v="33"/>
          </reference>
        </references>
      </pivotArea>
    </format>
    <format dxfId="2888">
      <pivotArea field="0" dataOnly="0" labelOnly="1" grandRow="1" outline="0" axis="axisRow" fieldPosition="0">
        <references count="1">
          <reference field="4294967294" count="1" selected="0">
            <x v="34"/>
          </reference>
        </references>
      </pivotArea>
    </format>
    <format dxfId="2887">
      <pivotArea field="0" dataOnly="0" labelOnly="1" grandRow="1" outline="0" axis="axisRow" fieldPosition="0">
        <references count="1">
          <reference field="4294967294" count="1" selected="0">
            <x v="35"/>
          </reference>
        </references>
      </pivotArea>
    </format>
    <format dxfId="2886">
      <pivotArea field="0" dataOnly="0" labelOnly="1" grandRow="1" outline="0" axis="axisRow" fieldPosition="0">
        <references count="1">
          <reference field="4294967294" count="1" selected="0">
            <x v="0"/>
          </reference>
        </references>
      </pivotArea>
    </format>
    <format dxfId="2885">
      <pivotArea field="0" dataOnly="0" labelOnly="1" grandRow="1" outline="0" axis="axisRow" fieldPosition="0">
        <references count="1">
          <reference field="4294967294" count="1" selected="0">
            <x v="1"/>
          </reference>
        </references>
      </pivotArea>
    </format>
    <format dxfId="2884">
      <pivotArea field="0" dataOnly="0" labelOnly="1" grandRow="1" outline="0" axis="axisRow" fieldPosition="0">
        <references count="1">
          <reference field="4294967294" count="1" selected="0">
            <x v="2"/>
          </reference>
        </references>
      </pivotArea>
    </format>
    <format dxfId="2883">
      <pivotArea field="0" dataOnly="0" labelOnly="1" grandRow="1" outline="0" axis="axisRow" fieldPosition="0">
        <references count="1">
          <reference field="4294967294" count="1" selected="0">
            <x v="3"/>
          </reference>
        </references>
      </pivotArea>
    </format>
    <format dxfId="2882">
      <pivotArea field="0" dataOnly="0" labelOnly="1" grandRow="1" outline="0" axis="axisRow" fieldPosition="0">
        <references count="1">
          <reference field="4294967294" count="1" selected="0">
            <x v="4"/>
          </reference>
        </references>
      </pivotArea>
    </format>
    <format dxfId="2881">
      <pivotArea field="0" dataOnly="0" labelOnly="1" grandRow="1" outline="0" axis="axisRow" fieldPosition="0">
        <references count="1">
          <reference field="4294967294" count="1" selected="0">
            <x v="5"/>
          </reference>
        </references>
      </pivotArea>
    </format>
    <format dxfId="2880">
      <pivotArea field="0" dataOnly="0" labelOnly="1" grandRow="1" outline="0" axis="axisRow" fieldPosition="0">
        <references count="1">
          <reference field="4294967294" count="1" selected="0">
            <x v="6"/>
          </reference>
        </references>
      </pivotArea>
    </format>
    <format dxfId="2879">
      <pivotArea field="0" dataOnly="0" labelOnly="1" grandRow="1" outline="0" axis="axisRow" fieldPosition="0">
        <references count="1">
          <reference field="4294967294" count="1" selected="0">
            <x v="7"/>
          </reference>
        </references>
      </pivotArea>
    </format>
    <format dxfId="2878">
      <pivotArea field="0" dataOnly="0" labelOnly="1" grandRow="1" outline="0" axis="axisRow" fieldPosition="0">
        <references count="1">
          <reference field="4294967294" count="1" selected="0">
            <x v="8"/>
          </reference>
        </references>
      </pivotArea>
    </format>
    <format dxfId="2877">
      <pivotArea field="0" dataOnly="0" labelOnly="1" grandRow="1" outline="0" axis="axisRow" fieldPosition="0">
        <references count="1">
          <reference field="4294967294" count="1" selected="0">
            <x v="9"/>
          </reference>
        </references>
      </pivotArea>
    </format>
    <format dxfId="2876">
      <pivotArea field="0" dataOnly="0" labelOnly="1" grandRow="1" outline="0" axis="axisRow" fieldPosition="0">
        <references count="1">
          <reference field="4294967294" count="1" selected="0">
            <x v="10"/>
          </reference>
        </references>
      </pivotArea>
    </format>
    <format dxfId="2875">
      <pivotArea field="0" dataOnly="0" labelOnly="1" grandRow="1" outline="0" axis="axisRow" fieldPosition="0">
        <references count="1">
          <reference field="4294967294" count="1" selected="0">
            <x v="11"/>
          </reference>
        </references>
      </pivotArea>
    </format>
    <format dxfId="2874">
      <pivotArea field="0" dataOnly="0" labelOnly="1" grandRow="1" outline="0" axis="axisRow" fieldPosition="0">
        <references count="1">
          <reference field="4294967294" count="1" selected="0">
            <x v="12"/>
          </reference>
        </references>
      </pivotArea>
    </format>
    <format dxfId="2873">
      <pivotArea field="0" dataOnly="0" labelOnly="1" grandRow="1" outline="0" axis="axisRow" fieldPosition="0">
        <references count="1">
          <reference field="4294967294" count="1" selected="0">
            <x v="13"/>
          </reference>
        </references>
      </pivotArea>
    </format>
    <format dxfId="2872">
      <pivotArea field="0" dataOnly="0" labelOnly="1" grandRow="1" outline="0" axis="axisRow" fieldPosition="0">
        <references count="1">
          <reference field="4294967294" count="1" selected="0">
            <x v="14"/>
          </reference>
        </references>
      </pivotArea>
    </format>
    <format dxfId="2871">
      <pivotArea field="0" dataOnly="0" labelOnly="1" grandRow="1" outline="0" axis="axisRow" fieldPosition="0">
        <references count="1">
          <reference field="4294967294" count="1" selected="0">
            <x v="15"/>
          </reference>
        </references>
      </pivotArea>
    </format>
    <format dxfId="2870">
      <pivotArea field="0" dataOnly="0" labelOnly="1" grandRow="1" outline="0" axis="axisRow" fieldPosition="0">
        <references count="1">
          <reference field="4294967294" count="1" selected="0">
            <x v="16"/>
          </reference>
        </references>
      </pivotArea>
    </format>
    <format dxfId="2869">
      <pivotArea field="0" dataOnly="0" labelOnly="1" grandRow="1" outline="0" axis="axisRow" fieldPosition="0">
        <references count="1">
          <reference field="4294967294" count="1" selected="0">
            <x v="17"/>
          </reference>
        </references>
      </pivotArea>
    </format>
    <format dxfId="2868">
      <pivotArea field="0" dataOnly="0" labelOnly="1" grandRow="1" outline="0" axis="axisRow" fieldPosition="0">
        <references count="1">
          <reference field="4294967294" count="1" selected="0">
            <x v="18"/>
          </reference>
        </references>
      </pivotArea>
    </format>
    <format dxfId="2867">
      <pivotArea field="0" dataOnly="0" labelOnly="1" grandRow="1" outline="0" axis="axisRow" fieldPosition="0">
        <references count="1">
          <reference field="4294967294" count="1" selected="0">
            <x v="19"/>
          </reference>
        </references>
      </pivotArea>
    </format>
    <format dxfId="2866">
      <pivotArea field="0" dataOnly="0" labelOnly="1" grandRow="1" outline="0" axis="axisRow" fieldPosition="0">
        <references count="1">
          <reference field="4294967294" count="1" selected="0">
            <x v="20"/>
          </reference>
        </references>
      </pivotArea>
    </format>
    <format dxfId="2865">
      <pivotArea field="0" dataOnly="0" labelOnly="1" grandRow="1" outline="0" axis="axisRow" fieldPosition="0">
        <references count="1">
          <reference field="4294967294" count="1" selected="0">
            <x v="21"/>
          </reference>
        </references>
      </pivotArea>
    </format>
    <format dxfId="2864">
      <pivotArea field="0" dataOnly="0" labelOnly="1" grandRow="1" outline="0" axis="axisRow" fieldPosition="0">
        <references count="1">
          <reference field="4294967294" count="1" selected="0">
            <x v="22"/>
          </reference>
        </references>
      </pivotArea>
    </format>
    <format dxfId="2863">
      <pivotArea field="0" dataOnly="0" labelOnly="1" grandRow="1" outline="0" axis="axisRow" fieldPosition="0">
        <references count="1">
          <reference field="4294967294" count="1" selected="0">
            <x v="23"/>
          </reference>
        </references>
      </pivotArea>
    </format>
    <format dxfId="2862">
      <pivotArea field="0" dataOnly="0" labelOnly="1" grandRow="1" outline="0" axis="axisRow" fieldPosition="0">
        <references count="1">
          <reference field="4294967294" count="1" selected="0">
            <x v="24"/>
          </reference>
        </references>
      </pivotArea>
    </format>
    <format dxfId="2861">
      <pivotArea field="0" dataOnly="0" labelOnly="1" grandRow="1" outline="0" axis="axisRow" fieldPosition="0">
        <references count="1">
          <reference field="4294967294" count="1" selected="0">
            <x v="25"/>
          </reference>
        </references>
      </pivotArea>
    </format>
    <format dxfId="2860">
      <pivotArea field="0" dataOnly="0" labelOnly="1" grandRow="1" outline="0" axis="axisRow" fieldPosition="0">
        <references count="1">
          <reference field="4294967294" count="1" selected="0">
            <x v="26"/>
          </reference>
        </references>
      </pivotArea>
    </format>
    <format dxfId="2859">
      <pivotArea field="0" dataOnly="0" labelOnly="1" grandRow="1" outline="0" axis="axisRow" fieldPosition="0">
        <references count="1">
          <reference field="4294967294" count="1" selected="0">
            <x v="27"/>
          </reference>
        </references>
      </pivotArea>
    </format>
    <format dxfId="2858">
      <pivotArea field="0" dataOnly="0" labelOnly="1" grandRow="1" outline="0" axis="axisRow" fieldPosition="0">
        <references count="1">
          <reference field="4294967294" count="1" selected="0">
            <x v="28"/>
          </reference>
        </references>
      </pivotArea>
    </format>
    <format dxfId="2857">
      <pivotArea field="0" dataOnly="0" labelOnly="1" grandRow="1" outline="0" axis="axisRow" fieldPosition="0">
        <references count="1">
          <reference field="4294967294" count="1" selected="0">
            <x v="29"/>
          </reference>
        </references>
      </pivotArea>
    </format>
    <format dxfId="2856">
      <pivotArea field="0" dataOnly="0" labelOnly="1" grandRow="1" outline="0" axis="axisRow" fieldPosition="0">
        <references count="1">
          <reference field="4294967294" count="1" selected="0">
            <x v="30"/>
          </reference>
        </references>
      </pivotArea>
    </format>
    <format dxfId="2855">
      <pivotArea field="0" dataOnly="0" labelOnly="1" grandRow="1" outline="0" axis="axisRow" fieldPosition="0">
        <references count="1">
          <reference field="4294967294" count="1" selected="0">
            <x v="31"/>
          </reference>
        </references>
      </pivotArea>
    </format>
    <format dxfId="2854">
      <pivotArea field="0" dataOnly="0" labelOnly="1" grandRow="1" outline="0" axis="axisRow" fieldPosition="0">
        <references count="1">
          <reference field="4294967294" count="1" selected="0">
            <x v="32"/>
          </reference>
        </references>
      </pivotArea>
    </format>
    <format dxfId="2853">
      <pivotArea field="0" dataOnly="0" labelOnly="1" grandRow="1" outline="0" axis="axisRow" fieldPosition="0">
        <references count="1">
          <reference field="4294967294" count="1" selected="0">
            <x v="33"/>
          </reference>
        </references>
      </pivotArea>
    </format>
    <format dxfId="2852">
      <pivotArea field="0" dataOnly="0" labelOnly="1" grandRow="1" outline="0" axis="axisRow" fieldPosition="0">
        <references count="1">
          <reference field="4294967294" count="1" selected="0">
            <x v="34"/>
          </reference>
        </references>
      </pivotArea>
    </format>
    <format dxfId="2851">
      <pivotArea field="0" dataOnly="0" labelOnly="1" grandRow="1" outline="0" axis="axisRow" fieldPosition="0">
        <references count="1">
          <reference field="4294967294" count="1" selected="0">
            <x v="35"/>
          </reference>
        </references>
      </pivotArea>
    </format>
    <format dxfId="2850">
      <pivotArea field="0" dataOnly="0" labelOnly="1" grandRow="1" outline="0" axis="axisRow" fieldPosition="0">
        <references count="1">
          <reference field="4294967294" count="1" selected="0">
            <x v="0"/>
          </reference>
        </references>
      </pivotArea>
    </format>
    <format dxfId="2849">
      <pivotArea field="0" dataOnly="0" labelOnly="1" grandRow="1" outline="0" axis="axisRow" fieldPosition="0">
        <references count="1">
          <reference field="4294967294" count="1" selected="0">
            <x v="1"/>
          </reference>
        </references>
      </pivotArea>
    </format>
    <format dxfId="2848">
      <pivotArea field="0" dataOnly="0" labelOnly="1" grandRow="1" outline="0" axis="axisRow" fieldPosition="0">
        <references count="1">
          <reference field="4294967294" count="1" selected="0">
            <x v="2"/>
          </reference>
        </references>
      </pivotArea>
    </format>
    <format dxfId="2847">
      <pivotArea field="0" dataOnly="0" labelOnly="1" grandRow="1" outline="0" axis="axisRow" fieldPosition="0">
        <references count="1">
          <reference field="4294967294" count="1" selected="0">
            <x v="3"/>
          </reference>
        </references>
      </pivotArea>
    </format>
    <format dxfId="2846">
      <pivotArea field="0" dataOnly="0" labelOnly="1" grandRow="1" outline="0" axis="axisRow" fieldPosition="0">
        <references count="1">
          <reference field="4294967294" count="1" selected="0">
            <x v="4"/>
          </reference>
        </references>
      </pivotArea>
    </format>
    <format dxfId="2845">
      <pivotArea field="0" dataOnly="0" labelOnly="1" grandRow="1" outline="0" axis="axisRow" fieldPosition="0">
        <references count="1">
          <reference field="4294967294" count="1" selected="0">
            <x v="5"/>
          </reference>
        </references>
      </pivotArea>
    </format>
    <format dxfId="2844">
      <pivotArea field="0" dataOnly="0" labelOnly="1" grandRow="1" outline="0" axis="axisRow" fieldPosition="0">
        <references count="1">
          <reference field="4294967294" count="1" selected="0">
            <x v="6"/>
          </reference>
        </references>
      </pivotArea>
    </format>
    <format dxfId="2843">
      <pivotArea field="0" dataOnly="0" labelOnly="1" grandRow="1" outline="0" axis="axisRow" fieldPosition="0">
        <references count="1">
          <reference field="4294967294" count="1" selected="0">
            <x v="7"/>
          </reference>
        </references>
      </pivotArea>
    </format>
    <format dxfId="2842">
      <pivotArea field="0" dataOnly="0" labelOnly="1" grandRow="1" outline="0" axis="axisRow" fieldPosition="0">
        <references count="1">
          <reference field="4294967294" count="1" selected="0">
            <x v="8"/>
          </reference>
        </references>
      </pivotArea>
    </format>
    <format dxfId="2841">
      <pivotArea field="0" dataOnly="0" labelOnly="1" grandRow="1" outline="0" axis="axisRow" fieldPosition="0">
        <references count="1">
          <reference field="4294967294" count="1" selected="0">
            <x v="9"/>
          </reference>
        </references>
      </pivotArea>
    </format>
    <format dxfId="2840">
      <pivotArea field="0" dataOnly="0" labelOnly="1" grandRow="1" outline="0" axis="axisRow" fieldPosition="0">
        <references count="1">
          <reference field="4294967294" count="1" selected="0">
            <x v="10"/>
          </reference>
        </references>
      </pivotArea>
    </format>
    <format dxfId="2839">
      <pivotArea field="0" dataOnly="0" labelOnly="1" grandRow="1" outline="0" axis="axisRow" fieldPosition="0">
        <references count="1">
          <reference field="4294967294" count="1" selected="0">
            <x v="11"/>
          </reference>
        </references>
      </pivotArea>
    </format>
    <format dxfId="2838">
      <pivotArea field="0" dataOnly="0" labelOnly="1" grandRow="1" outline="0" axis="axisRow" fieldPosition="0">
        <references count="1">
          <reference field="4294967294" count="1" selected="0">
            <x v="12"/>
          </reference>
        </references>
      </pivotArea>
    </format>
    <format dxfId="2837">
      <pivotArea field="0" dataOnly="0" labelOnly="1" grandRow="1" outline="0" axis="axisRow" fieldPosition="0">
        <references count="1">
          <reference field="4294967294" count="1" selected="0">
            <x v="13"/>
          </reference>
        </references>
      </pivotArea>
    </format>
    <format dxfId="2836">
      <pivotArea field="0" dataOnly="0" labelOnly="1" grandRow="1" outline="0" axis="axisRow" fieldPosition="0">
        <references count="1">
          <reference field="4294967294" count="1" selected="0">
            <x v="14"/>
          </reference>
        </references>
      </pivotArea>
    </format>
    <format dxfId="2835">
      <pivotArea field="0" dataOnly="0" labelOnly="1" grandRow="1" outline="0" axis="axisRow" fieldPosition="0">
        <references count="1">
          <reference field="4294967294" count="1" selected="0">
            <x v="15"/>
          </reference>
        </references>
      </pivotArea>
    </format>
    <format dxfId="2834">
      <pivotArea field="0" dataOnly="0" labelOnly="1" grandRow="1" outline="0" axis="axisRow" fieldPosition="0">
        <references count="1">
          <reference field="4294967294" count="1" selected="0">
            <x v="16"/>
          </reference>
        </references>
      </pivotArea>
    </format>
    <format dxfId="2833">
      <pivotArea field="0" dataOnly="0" labelOnly="1" grandRow="1" outline="0" axis="axisRow" fieldPosition="0">
        <references count="1">
          <reference field="4294967294" count="1" selected="0">
            <x v="17"/>
          </reference>
        </references>
      </pivotArea>
    </format>
    <format dxfId="2832">
      <pivotArea field="0" dataOnly="0" labelOnly="1" grandRow="1" outline="0" axis="axisRow" fieldPosition="0">
        <references count="1">
          <reference field="4294967294" count="1" selected="0">
            <x v="18"/>
          </reference>
        </references>
      </pivotArea>
    </format>
    <format dxfId="2831">
      <pivotArea field="0" dataOnly="0" labelOnly="1" grandRow="1" outline="0" axis="axisRow" fieldPosition="0">
        <references count="1">
          <reference field="4294967294" count="1" selected="0">
            <x v="19"/>
          </reference>
        </references>
      </pivotArea>
    </format>
    <format dxfId="2830">
      <pivotArea field="0" dataOnly="0" labelOnly="1" grandRow="1" outline="0" axis="axisRow" fieldPosition="0">
        <references count="1">
          <reference field="4294967294" count="1" selected="0">
            <x v="20"/>
          </reference>
        </references>
      </pivotArea>
    </format>
    <format dxfId="2829">
      <pivotArea field="0" dataOnly="0" labelOnly="1" grandRow="1" outline="0" axis="axisRow" fieldPosition="0">
        <references count="1">
          <reference field="4294967294" count="1" selected="0">
            <x v="21"/>
          </reference>
        </references>
      </pivotArea>
    </format>
    <format dxfId="2828">
      <pivotArea field="0" dataOnly="0" labelOnly="1" grandRow="1" outline="0" axis="axisRow" fieldPosition="0">
        <references count="1">
          <reference field="4294967294" count="1" selected="0">
            <x v="22"/>
          </reference>
        </references>
      </pivotArea>
    </format>
    <format dxfId="2827">
      <pivotArea field="0" dataOnly="0" labelOnly="1" grandRow="1" outline="0" axis="axisRow" fieldPosition="0">
        <references count="1">
          <reference field="4294967294" count="1" selected="0">
            <x v="23"/>
          </reference>
        </references>
      </pivotArea>
    </format>
    <format dxfId="2826">
      <pivotArea field="0" dataOnly="0" labelOnly="1" grandRow="1" outline="0" axis="axisRow" fieldPosition="0">
        <references count="1">
          <reference field="4294967294" count="1" selected="0">
            <x v="24"/>
          </reference>
        </references>
      </pivotArea>
    </format>
    <format dxfId="2825">
      <pivotArea field="0" dataOnly="0" labelOnly="1" grandRow="1" outline="0" axis="axisRow" fieldPosition="0">
        <references count="1">
          <reference field="4294967294" count="1" selected="0">
            <x v="25"/>
          </reference>
        </references>
      </pivotArea>
    </format>
    <format dxfId="2824">
      <pivotArea field="0" dataOnly="0" labelOnly="1" grandRow="1" outline="0" axis="axisRow" fieldPosition="0">
        <references count="1">
          <reference field="4294967294" count="1" selected="0">
            <x v="26"/>
          </reference>
        </references>
      </pivotArea>
    </format>
    <format dxfId="2823">
      <pivotArea field="0" dataOnly="0" labelOnly="1" grandRow="1" outline="0" axis="axisRow" fieldPosition="0">
        <references count="1">
          <reference field="4294967294" count="1" selected="0">
            <x v="27"/>
          </reference>
        </references>
      </pivotArea>
    </format>
    <format dxfId="2822">
      <pivotArea field="0" dataOnly="0" labelOnly="1" grandRow="1" outline="0" axis="axisRow" fieldPosition="0">
        <references count="1">
          <reference field="4294967294" count="1" selected="0">
            <x v="28"/>
          </reference>
        </references>
      </pivotArea>
    </format>
    <format dxfId="2821">
      <pivotArea field="0" dataOnly="0" labelOnly="1" grandRow="1" outline="0" axis="axisRow" fieldPosition="0">
        <references count="1">
          <reference field="4294967294" count="1" selected="0">
            <x v="29"/>
          </reference>
        </references>
      </pivotArea>
    </format>
    <format dxfId="2820">
      <pivotArea field="0" dataOnly="0" labelOnly="1" grandRow="1" outline="0" axis="axisRow" fieldPosition="0">
        <references count="1">
          <reference field="4294967294" count="1" selected="0">
            <x v="30"/>
          </reference>
        </references>
      </pivotArea>
    </format>
    <format dxfId="2819">
      <pivotArea field="0" dataOnly="0" labelOnly="1" grandRow="1" outline="0" axis="axisRow" fieldPosition="0">
        <references count="1">
          <reference field="4294967294" count="1" selected="0">
            <x v="31"/>
          </reference>
        </references>
      </pivotArea>
    </format>
    <format dxfId="2818">
      <pivotArea field="0" dataOnly="0" labelOnly="1" grandRow="1" outline="0" axis="axisRow" fieldPosition="0">
        <references count="1">
          <reference field="4294967294" count="1" selected="0">
            <x v="32"/>
          </reference>
        </references>
      </pivotArea>
    </format>
    <format dxfId="2817">
      <pivotArea field="0" dataOnly="0" labelOnly="1" grandRow="1" outline="0" axis="axisRow" fieldPosition="0">
        <references count="1">
          <reference field="4294967294" count="1" selected="0">
            <x v="33"/>
          </reference>
        </references>
      </pivotArea>
    </format>
    <format dxfId="2816">
      <pivotArea field="0" dataOnly="0" labelOnly="1" grandRow="1" outline="0" axis="axisRow" fieldPosition="0">
        <references count="1">
          <reference field="4294967294" count="1" selected="0">
            <x v="34"/>
          </reference>
        </references>
      </pivotArea>
    </format>
    <format dxfId="2815">
      <pivotArea field="0" dataOnly="0" labelOnly="1" grandRow="1" outline="0" axis="axisRow" fieldPosition="0">
        <references count="1">
          <reference field="4294967294" count="1" selected="0">
            <x v="35"/>
          </reference>
        </references>
      </pivotArea>
    </format>
    <format dxfId="2814">
      <pivotArea field="0" dataOnly="0" labelOnly="1" grandRow="1" outline="0" axis="axisRow" fieldPosition="0">
        <references count="1">
          <reference field="4294967294" count="1" selected="0">
            <x v="0"/>
          </reference>
        </references>
      </pivotArea>
    </format>
    <format dxfId="2813">
      <pivotArea field="0" dataOnly="0" labelOnly="1" grandRow="1" outline="0" axis="axisRow" fieldPosition="0">
        <references count="1">
          <reference field="4294967294" count="1" selected="0">
            <x v="1"/>
          </reference>
        </references>
      </pivotArea>
    </format>
    <format dxfId="2812">
      <pivotArea field="0" dataOnly="0" labelOnly="1" grandRow="1" outline="0" axis="axisRow" fieldPosition="0">
        <references count="1">
          <reference field="4294967294" count="1" selected="0">
            <x v="2"/>
          </reference>
        </references>
      </pivotArea>
    </format>
    <format dxfId="2811">
      <pivotArea field="0" dataOnly="0" labelOnly="1" grandRow="1" outline="0" axis="axisRow" fieldPosition="0">
        <references count="1">
          <reference field="4294967294" count="1" selected="0">
            <x v="3"/>
          </reference>
        </references>
      </pivotArea>
    </format>
    <format dxfId="2810">
      <pivotArea field="0" dataOnly="0" labelOnly="1" grandRow="1" outline="0" axis="axisRow" fieldPosition="0">
        <references count="1">
          <reference field="4294967294" count="1" selected="0">
            <x v="4"/>
          </reference>
        </references>
      </pivotArea>
    </format>
    <format dxfId="2809">
      <pivotArea field="0" dataOnly="0" labelOnly="1" grandRow="1" outline="0" axis="axisRow" fieldPosition="0">
        <references count="1">
          <reference field="4294967294" count="1" selected="0">
            <x v="5"/>
          </reference>
        </references>
      </pivotArea>
    </format>
    <format dxfId="2808">
      <pivotArea field="0" dataOnly="0" labelOnly="1" grandRow="1" outline="0" axis="axisRow" fieldPosition="0">
        <references count="1">
          <reference field="4294967294" count="1" selected="0">
            <x v="6"/>
          </reference>
        </references>
      </pivotArea>
    </format>
    <format dxfId="2807">
      <pivotArea field="0" dataOnly="0" labelOnly="1" grandRow="1" outline="0" axis="axisRow" fieldPosition="0">
        <references count="1">
          <reference field="4294967294" count="1" selected="0">
            <x v="7"/>
          </reference>
        </references>
      </pivotArea>
    </format>
    <format dxfId="2806">
      <pivotArea field="0" dataOnly="0" labelOnly="1" grandRow="1" outline="0" axis="axisRow" fieldPosition="0">
        <references count="1">
          <reference field="4294967294" count="1" selected="0">
            <x v="8"/>
          </reference>
        </references>
      </pivotArea>
    </format>
    <format dxfId="2805">
      <pivotArea field="0" dataOnly="0" labelOnly="1" grandRow="1" outline="0" axis="axisRow" fieldPosition="0">
        <references count="1">
          <reference field="4294967294" count="1" selected="0">
            <x v="9"/>
          </reference>
        </references>
      </pivotArea>
    </format>
    <format dxfId="2804">
      <pivotArea field="0" dataOnly="0" labelOnly="1" grandRow="1" outline="0" axis="axisRow" fieldPosition="0">
        <references count="1">
          <reference field="4294967294" count="1" selected="0">
            <x v="10"/>
          </reference>
        </references>
      </pivotArea>
    </format>
    <format dxfId="2803">
      <pivotArea field="0" dataOnly="0" labelOnly="1" grandRow="1" outline="0" axis="axisRow" fieldPosition="0">
        <references count="1">
          <reference field="4294967294" count="1" selected="0">
            <x v="11"/>
          </reference>
        </references>
      </pivotArea>
    </format>
    <format dxfId="2802">
      <pivotArea field="0" dataOnly="0" labelOnly="1" grandRow="1" outline="0" axis="axisRow" fieldPosition="0">
        <references count="1">
          <reference field="4294967294" count="1" selected="0">
            <x v="12"/>
          </reference>
        </references>
      </pivotArea>
    </format>
    <format dxfId="2801">
      <pivotArea field="0" dataOnly="0" labelOnly="1" grandRow="1" outline="0" axis="axisRow" fieldPosition="0">
        <references count="1">
          <reference field="4294967294" count="1" selected="0">
            <x v="13"/>
          </reference>
        </references>
      </pivotArea>
    </format>
    <format dxfId="2800">
      <pivotArea field="0" dataOnly="0" labelOnly="1" grandRow="1" outline="0" axis="axisRow" fieldPosition="0">
        <references count="1">
          <reference field="4294967294" count="1" selected="0">
            <x v="14"/>
          </reference>
        </references>
      </pivotArea>
    </format>
    <format dxfId="2799">
      <pivotArea field="0" dataOnly="0" labelOnly="1" grandRow="1" outline="0" axis="axisRow" fieldPosition="0">
        <references count="1">
          <reference field="4294967294" count="1" selected="0">
            <x v="15"/>
          </reference>
        </references>
      </pivotArea>
    </format>
    <format dxfId="2798">
      <pivotArea field="0" dataOnly="0" labelOnly="1" grandRow="1" outline="0" axis="axisRow" fieldPosition="0">
        <references count="1">
          <reference field="4294967294" count="1" selected="0">
            <x v="16"/>
          </reference>
        </references>
      </pivotArea>
    </format>
    <format dxfId="2797">
      <pivotArea field="0" dataOnly="0" labelOnly="1" grandRow="1" outline="0" axis="axisRow" fieldPosition="0">
        <references count="1">
          <reference field="4294967294" count="1" selected="0">
            <x v="17"/>
          </reference>
        </references>
      </pivotArea>
    </format>
    <format dxfId="2796">
      <pivotArea field="0" dataOnly="0" labelOnly="1" grandRow="1" outline="0" axis="axisRow" fieldPosition="0">
        <references count="1">
          <reference field="4294967294" count="1" selected="0">
            <x v="18"/>
          </reference>
        </references>
      </pivotArea>
    </format>
    <format dxfId="2795">
      <pivotArea field="0" dataOnly="0" labelOnly="1" grandRow="1" outline="0" axis="axisRow" fieldPosition="0">
        <references count="1">
          <reference field="4294967294" count="1" selected="0">
            <x v="19"/>
          </reference>
        </references>
      </pivotArea>
    </format>
    <format dxfId="2794">
      <pivotArea field="0" dataOnly="0" labelOnly="1" grandRow="1" outline="0" axis="axisRow" fieldPosition="0">
        <references count="1">
          <reference field="4294967294" count="1" selected="0">
            <x v="20"/>
          </reference>
        </references>
      </pivotArea>
    </format>
    <format dxfId="2793">
      <pivotArea field="0" dataOnly="0" labelOnly="1" grandRow="1" outline="0" axis="axisRow" fieldPosition="0">
        <references count="1">
          <reference field="4294967294" count="1" selected="0">
            <x v="21"/>
          </reference>
        </references>
      </pivotArea>
    </format>
    <format dxfId="2792">
      <pivotArea field="0" dataOnly="0" labelOnly="1" grandRow="1" outline="0" axis="axisRow" fieldPosition="0">
        <references count="1">
          <reference field="4294967294" count="1" selected="0">
            <x v="22"/>
          </reference>
        </references>
      </pivotArea>
    </format>
    <format dxfId="2791">
      <pivotArea field="0" dataOnly="0" labelOnly="1" grandRow="1" outline="0" axis="axisRow" fieldPosition="0">
        <references count="1">
          <reference field="4294967294" count="1" selected="0">
            <x v="23"/>
          </reference>
        </references>
      </pivotArea>
    </format>
    <format dxfId="2790">
      <pivotArea field="0" dataOnly="0" labelOnly="1" grandRow="1" outline="0" axis="axisRow" fieldPosition="0">
        <references count="1">
          <reference field="4294967294" count="1" selected="0">
            <x v="24"/>
          </reference>
        </references>
      </pivotArea>
    </format>
    <format dxfId="2789">
      <pivotArea field="0" dataOnly="0" labelOnly="1" grandRow="1" outline="0" axis="axisRow" fieldPosition="0">
        <references count="1">
          <reference field="4294967294" count="1" selected="0">
            <x v="25"/>
          </reference>
        </references>
      </pivotArea>
    </format>
    <format dxfId="2788">
      <pivotArea field="0" dataOnly="0" labelOnly="1" grandRow="1" outline="0" axis="axisRow" fieldPosition="0">
        <references count="1">
          <reference field="4294967294" count="1" selected="0">
            <x v="26"/>
          </reference>
        </references>
      </pivotArea>
    </format>
    <format dxfId="2787">
      <pivotArea field="0" dataOnly="0" labelOnly="1" grandRow="1" outline="0" axis="axisRow" fieldPosition="0">
        <references count="1">
          <reference field="4294967294" count="1" selected="0">
            <x v="27"/>
          </reference>
        </references>
      </pivotArea>
    </format>
    <format dxfId="2786">
      <pivotArea field="0" dataOnly="0" labelOnly="1" grandRow="1" outline="0" axis="axisRow" fieldPosition="0">
        <references count="1">
          <reference field="4294967294" count="1" selected="0">
            <x v="28"/>
          </reference>
        </references>
      </pivotArea>
    </format>
    <format dxfId="2785">
      <pivotArea field="0" dataOnly="0" labelOnly="1" grandRow="1" outline="0" axis="axisRow" fieldPosition="0">
        <references count="1">
          <reference field="4294967294" count="1" selected="0">
            <x v="29"/>
          </reference>
        </references>
      </pivotArea>
    </format>
    <format dxfId="2784">
      <pivotArea field="0" dataOnly="0" labelOnly="1" grandRow="1" outline="0" axis="axisRow" fieldPosition="0">
        <references count="1">
          <reference field="4294967294" count="1" selected="0">
            <x v="30"/>
          </reference>
        </references>
      </pivotArea>
    </format>
    <format dxfId="2783">
      <pivotArea field="0" dataOnly="0" labelOnly="1" grandRow="1" outline="0" axis="axisRow" fieldPosition="0">
        <references count="1">
          <reference field="4294967294" count="1" selected="0">
            <x v="31"/>
          </reference>
        </references>
      </pivotArea>
    </format>
    <format dxfId="2782">
      <pivotArea field="0" dataOnly="0" labelOnly="1" grandRow="1" outline="0" axis="axisRow" fieldPosition="0">
        <references count="1">
          <reference field="4294967294" count="1" selected="0">
            <x v="32"/>
          </reference>
        </references>
      </pivotArea>
    </format>
    <format dxfId="2781">
      <pivotArea field="0" dataOnly="0" labelOnly="1" grandRow="1" outline="0" axis="axisRow" fieldPosition="0">
        <references count="1">
          <reference field="4294967294" count="1" selected="0">
            <x v="33"/>
          </reference>
        </references>
      </pivotArea>
    </format>
    <format dxfId="2780">
      <pivotArea field="0" dataOnly="0" labelOnly="1" grandRow="1" outline="0" axis="axisRow" fieldPosition="0">
        <references count="1">
          <reference field="4294967294" count="1" selected="0">
            <x v="34"/>
          </reference>
        </references>
      </pivotArea>
    </format>
    <format dxfId="2779">
      <pivotArea field="0" dataOnly="0" labelOnly="1" grandRow="1" outline="0" axis="axisRow" fieldPosition="0">
        <references count="1">
          <reference field="4294967294" count="1" selected="0">
            <x v="35"/>
          </reference>
        </references>
      </pivotArea>
    </format>
    <format dxfId="2778">
      <pivotArea field="0" dataOnly="0" labelOnly="1" grandRow="1" outline="0" axis="axisRow" fieldPosition="0">
        <references count="1">
          <reference field="4294967294" count="1" selected="0">
            <x v="0"/>
          </reference>
        </references>
      </pivotArea>
    </format>
    <format dxfId="2777">
      <pivotArea field="0" dataOnly="0" labelOnly="1" grandRow="1" outline="0" axis="axisRow" fieldPosition="0">
        <references count="1">
          <reference field="4294967294" count="1" selected="0">
            <x v="1"/>
          </reference>
        </references>
      </pivotArea>
    </format>
    <format dxfId="2776">
      <pivotArea field="0" dataOnly="0" labelOnly="1" grandRow="1" outline="0" axis="axisRow" fieldPosition="0">
        <references count="1">
          <reference field="4294967294" count="1" selected="0">
            <x v="2"/>
          </reference>
        </references>
      </pivotArea>
    </format>
    <format dxfId="2775">
      <pivotArea field="0" dataOnly="0" labelOnly="1" grandRow="1" outline="0" axis="axisRow" fieldPosition="0">
        <references count="1">
          <reference field="4294967294" count="1" selected="0">
            <x v="3"/>
          </reference>
        </references>
      </pivotArea>
    </format>
    <format dxfId="2774">
      <pivotArea field="0" dataOnly="0" labelOnly="1" grandRow="1" outline="0" axis="axisRow" fieldPosition="0">
        <references count="1">
          <reference field="4294967294" count="1" selected="0">
            <x v="4"/>
          </reference>
        </references>
      </pivotArea>
    </format>
    <format dxfId="2773">
      <pivotArea field="0" dataOnly="0" labelOnly="1" grandRow="1" outline="0" axis="axisRow" fieldPosition="0">
        <references count="1">
          <reference field="4294967294" count="1" selected="0">
            <x v="5"/>
          </reference>
        </references>
      </pivotArea>
    </format>
    <format dxfId="2772">
      <pivotArea field="0" dataOnly="0" labelOnly="1" grandRow="1" outline="0" axis="axisRow" fieldPosition="0">
        <references count="1">
          <reference field="4294967294" count="1" selected="0">
            <x v="6"/>
          </reference>
        </references>
      </pivotArea>
    </format>
    <format dxfId="2771">
      <pivotArea field="0" dataOnly="0" labelOnly="1" grandRow="1" outline="0" axis="axisRow" fieldPosition="0">
        <references count="1">
          <reference field="4294967294" count="1" selected="0">
            <x v="7"/>
          </reference>
        </references>
      </pivotArea>
    </format>
    <format dxfId="2770">
      <pivotArea field="0" dataOnly="0" labelOnly="1" grandRow="1" outline="0" axis="axisRow" fieldPosition="0">
        <references count="1">
          <reference field="4294967294" count="1" selected="0">
            <x v="8"/>
          </reference>
        </references>
      </pivotArea>
    </format>
    <format dxfId="2769">
      <pivotArea field="0" dataOnly="0" labelOnly="1" grandRow="1" outline="0" axis="axisRow" fieldPosition="0">
        <references count="1">
          <reference field="4294967294" count="1" selected="0">
            <x v="9"/>
          </reference>
        </references>
      </pivotArea>
    </format>
    <format dxfId="2768">
      <pivotArea field="0" dataOnly="0" labelOnly="1" grandRow="1" outline="0" axis="axisRow" fieldPosition="0">
        <references count="1">
          <reference field="4294967294" count="1" selected="0">
            <x v="10"/>
          </reference>
        </references>
      </pivotArea>
    </format>
    <format dxfId="2767">
      <pivotArea field="0" dataOnly="0" labelOnly="1" grandRow="1" outline="0" axis="axisRow" fieldPosition="0">
        <references count="1">
          <reference field="4294967294" count="1" selected="0">
            <x v="11"/>
          </reference>
        </references>
      </pivotArea>
    </format>
    <format dxfId="2766">
      <pivotArea field="0" dataOnly="0" labelOnly="1" grandRow="1" outline="0" axis="axisRow" fieldPosition="0">
        <references count="1">
          <reference field="4294967294" count="1" selected="0">
            <x v="12"/>
          </reference>
        </references>
      </pivotArea>
    </format>
    <format dxfId="2765">
      <pivotArea field="0" dataOnly="0" labelOnly="1" grandRow="1" outline="0" axis="axisRow" fieldPosition="0">
        <references count="1">
          <reference field="4294967294" count="1" selected="0">
            <x v="13"/>
          </reference>
        </references>
      </pivotArea>
    </format>
    <format dxfId="2764">
      <pivotArea field="0" dataOnly="0" labelOnly="1" grandRow="1" outline="0" axis="axisRow" fieldPosition="0">
        <references count="1">
          <reference field="4294967294" count="1" selected="0">
            <x v="14"/>
          </reference>
        </references>
      </pivotArea>
    </format>
    <format dxfId="2763">
      <pivotArea field="0" dataOnly="0" labelOnly="1" grandRow="1" outline="0" axis="axisRow" fieldPosition="0">
        <references count="1">
          <reference field="4294967294" count="1" selected="0">
            <x v="15"/>
          </reference>
        </references>
      </pivotArea>
    </format>
    <format dxfId="2762">
      <pivotArea field="0" dataOnly="0" labelOnly="1" grandRow="1" outline="0" axis="axisRow" fieldPosition="0">
        <references count="1">
          <reference field="4294967294" count="1" selected="0">
            <x v="16"/>
          </reference>
        </references>
      </pivotArea>
    </format>
    <format dxfId="2761">
      <pivotArea field="0" dataOnly="0" labelOnly="1" grandRow="1" outline="0" axis="axisRow" fieldPosition="0">
        <references count="1">
          <reference field="4294967294" count="1" selected="0">
            <x v="17"/>
          </reference>
        </references>
      </pivotArea>
    </format>
    <format dxfId="2760">
      <pivotArea field="0" dataOnly="0" labelOnly="1" grandRow="1" outline="0" axis="axisRow" fieldPosition="0">
        <references count="1">
          <reference field="4294967294" count="1" selected="0">
            <x v="18"/>
          </reference>
        </references>
      </pivotArea>
    </format>
    <format dxfId="2759">
      <pivotArea field="0" dataOnly="0" labelOnly="1" grandRow="1" outline="0" axis="axisRow" fieldPosition="0">
        <references count="1">
          <reference field="4294967294" count="1" selected="0">
            <x v="19"/>
          </reference>
        </references>
      </pivotArea>
    </format>
    <format dxfId="2758">
      <pivotArea field="0" dataOnly="0" labelOnly="1" grandRow="1" outline="0" axis="axisRow" fieldPosition="0">
        <references count="1">
          <reference field="4294967294" count="1" selected="0">
            <x v="20"/>
          </reference>
        </references>
      </pivotArea>
    </format>
    <format dxfId="2757">
      <pivotArea field="0" dataOnly="0" labelOnly="1" grandRow="1" outline="0" axis="axisRow" fieldPosition="0">
        <references count="1">
          <reference field="4294967294" count="1" selected="0">
            <x v="21"/>
          </reference>
        </references>
      </pivotArea>
    </format>
    <format dxfId="2756">
      <pivotArea field="0" dataOnly="0" labelOnly="1" grandRow="1" outline="0" axis="axisRow" fieldPosition="0">
        <references count="1">
          <reference field="4294967294" count="1" selected="0">
            <x v="22"/>
          </reference>
        </references>
      </pivotArea>
    </format>
    <format dxfId="2755">
      <pivotArea field="0" dataOnly="0" labelOnly="1" grandRow="1" outline="0" axis="axisRow" fieldPosition="0">
        <references count="1">
          <reference field="4294967294" count="1" selected="0">
            <x v="23"/>
          </reference>
        </references>
      </pivotArea>
    </format>
    <format dxfId="2754">
      <pivotArea field="0" dataOnly="0" labelOnly="1" grandRow="1" outline="0" axis="axisRow" fieldPosition="0">
        <references count="1">
          <reference field="4294967294" count="1" selected="0">
            <x v="24"/>
          </reference>
        </references>
      </pivotArea>
    </format>
    <format dxfId="2753">
      <pivotArea field="0" dataOnly="0" labelOnly="1" grandRow="1" outline="0" axis="axisRow" fieldPosition="0">
        <references count="1">
          <reference field="4294967294" count="1" selected="0">
            <x v="25"/>
          </reference>
        </references>
      </pivotArea>
    </format>
    <format dxfId="2752">
      <pivotArea field="0" dataOnly="0" labelOnly="1" grandRow="1" outline="0" axis="axisRow" fieldPosition="0">
        <references count="1">
          <reference field="4294967294" count="1" selected="0">
            <x v="26"/>
          </reference>
        </references>
      </pivotArea>
    </format>
    <format dxfId="2751">
      <pivotArea field="0" dataOnly="0" labelOnly="1" grandRow="1" outline="0" axis="axisRow" fieldPosition="0">
        <references count="1">
          <reference field="4294967294" count="1" selected="0">
            <x v="27"/>
          </reference>
        </references>
      </pivotArea>
    </format>
    <format dxfId="2750">
      <pivotArea field="0" dataOnly="0" labelOnly="1" grandRow="1" outline="0" axis="axisRow" fieldPosition="0">
        <references count="1">
          <reference field="4294967294" count="1" selected="0">
            <x v="28"/>
          </reference>
        </references>
      </pivotArea>
    </format>
    <format dxfId="2749">
      <pivotArea field="0" dataOnly="0" labelOnly="1" grandRow="1" outline="0" axis="axisRow" fieldPosition="0">
        <references count="1">
          <reference field="4294967294" count="1" selected="0">
            <x v="29"/>
          </reference>
        </references>
      </pivotArea>
    </format>
    <format dxfId="2748">
      <pivotArea field="0" dataOnly="0" labelOnly="1" grandRow="1" outline="0" axis="axisRow" fieldPosition="0">
        <references count="1">
          <reference field="4294967294" count="1" selected="0">
            <x v="30"/>
          </reference>
        </references>
      </pivotArea>
    </format>
    <format dxfId="2747">
      <pivotArea field="0" dataOnly="0" labelOnly="1" grandRow="1" outline="0" axis="axisRow" fieldPosition="0">
        <references count="1">
          <reference field="4294967294" count="1" selected="0">
            <x v="31"/>
          </reference>
        </references>
      </pivotArea>
    </format>
    <format dxfId="2746">
      <pivotArea field="0" dataOnly="0" labelOnly="1" grandRow="1" outline="0" axis="axisRow" fieldPosition="0">
        <references count="1">
          <reference field="4294967294" count="1" selected="0">
            <x v="32"/>
          </reference>
        </references>
      </pivotArea>
    </format>
    <format dxfId="2745">
      <pivotArea field="0" dataOnly="0" labelOnly="1" grandRow="1" outline="0" axis="axisRow" fieldPosition="0">
        <references count="1">
          <reference field="4294967294" count="1" selected="0">
            <x v="33"/>
          </reference>
        </references>
      </pivotArea>
    </format>
    <format dxfId="2744">
      <pivotArea field="0" dataOnly="0" labelOnly="1" grandRow="1" outline="0" axis="axisRow" fieldPosition="0">
        <references count="1">
          <reference field="4294967294" count="1" selected="0">
            <x v="34"/>
          </reference>
        </references>
      </pivotArea>
    </format>
    <format dxfId="2743">
      <pivotArea field="0" dataOnly="0" labelOnly="1" grandRow="1" outline="0" axis="axisRow" fieldPosition="0">
        <references count="1">
          <reference field="4294967294" count="1" selected="0">
            <x v="35"/>
          </reference>
        </references>
      </pivotArea>
    </format>
    <format dxfId="2742">
      <pivotArea field="0" dataOnly="0" labelOnly="1" grandRow="1" outline="0" axis="axisRow" fieldPosition="0">
        <references count="1">
          <reference field="4294967294" count="1" selected="0">
            <x v="0"/>
          </reference>
        </references>
      </pivotArea>
    </format>
    <format dxfId="2741">
      <pivotArea field="0" dataOnly="0" labelOnly="1" grandRow="1" outline="0" axis="axisRow" fieldPosition="0">
        <references count="1">
          <reference field="4294967294" count="1" selected="0">
            <x v="1"/>
          </reference>
        </references>
      </pivotArea>
    </format>
    <format dxfId="2740">
      <pivotArea field="0" dataOnly="0" labelOnly="1" grandRow="1" outline="0" axis="axisRow" fieldPosition="0">
        <references count="1">
          <reference field="4294967294" count="1" selected="0">
            <x v="2"/>
          </reference>
        </references>
      </pivotArea>
    </format>
    <format dxfId="2739">
      <pivotArea field="0" dataOnly="0" labelOnly="1" grandRow="1" outline="0" axis="axisRow" fieldPosition="0">
        <references count="1">
          <reference field="4294967294" count="1" selected="0">
            <x v="3"/>
          </reference>
        </references>
      </pivotArea>
    </format>
    <format dxfId="2738">
      <pivotArea field="0" dataOnly="0" labelOnly="1" grandRow="1" outline="0" axis="axisRow" fieldPosition="0">
        <references count="1">
          <reference field="4294967294" count="1" selected="0">
            <x v="4"/>
          </reference>
        </references>
      </pivotArea>
    </format>
    <format dxfId="2737">
      <pivotArea field="0" dataOnly="0" labelOnly="1" grandRow="1" outline="0" axis="axisRow" fieldPosition="0">
        <references count="1">
          <reference field="4294967294" count="1" selected="0">
            <x v="5"/>
          </reference>
        </references>
      </pivotArea>
    </format>
    <format dxfId="2736">
      <pivotArea field="0" dataOnly="0" labelOnly="1" grandRow="1" outline="0" axis="axisRow" fieldPosition="0">
        <references count="1">
          <reference field="4294967294" count="1" selected="0">
            <x v="6"/>
          </reference>
        </references>
      </pivotArea>
    </format>
    <format dxfId="2735">
      <pivotArea field="0" dataOnly="0" labelOnly="1" grandRow="1" outline="0" axis="axisRow" fieldPosition="0">
        <references count="1">
          <reference field="4294967294" count="1" selected="0">
            <x v="7"/>
          </reference>
        </references>
      </pivotArea>
    </format>
    <format dxfId="2734">
      <pivotArea field="0" dataOnly="0" labelOnly="1" grandRow="1" outline="0" axis="axisRow" fieldPosition="0">
        <references count="1">
          <reference field="4294967294" count="1" selected="0">
            <x v="8"/>
          </reference>
        </references>
      </pivotArea>
    </format>
    <format dxfId="2733">
      <pivotArea field="0" dataOnly="0" labelOnly="1" grandRow="1" outline="0" axis="axisRow" fieldPosition="0">
        <references count="1">
          <reference field="4294967294" count="1" selected="0">
            <x v="9"/>
          </reference>
        </references>
      </pivotArea>
    </format>
    <format dxfId="2732">
      <pivotArea field="0" dataOnly="0" labelOnly="1" grandRow="1" outline="0" axis="axisRow" fieldPosition="0">
        <references count="1">
          <reference field="4294967294" count="1" selected="0">
            <x v="10"/>
          </reference>
        </references>
      </pivotArea>
    </format>
    <format dxfId="2731">
      <pivotArea field="0" dataOnly="0" labelOnly="1" grandRow="1" outline="0" axis="axisRow" fieldPosition="0">
        <references count="1">
          <reference field="4294967294" count="1" selected="0">
            <x v="11"/>
          </reference>
        </references>
      </pivotArea>
    </format>
    <format dxfId="2730">
      <pivotArea field="0" dataOnly="0" labelOnly="1" grandRow="1" outline="0" axis="axisRow" fieldPosition="0">
        <references count="1">
          <reference field="4294967294" count="1" selected="0">
            <x v="12"/>
          </reference>
        </references>
      </pivotArea>
    </format>
    <format dxfId="2729">
      <pivotArea field="0" dataOnly="0" labelOnly="1" grandRow="1" outline="0" axis="axisRow" fieldPosition="0">
        <references count="1">
          <reference field="4294967294" count="1" selected="0">
            <x v="13"/>
          </reference>
        </references>
      </pivotArea>
    </format>
    <format dxfId="2728">
      <pivotArea field="0" dataOnly="0" labelOnly="1" grandRow="1" outline="0" axis="axisRow" fieldPosition="0">
        <references count="1">
          <reference field="4294967294" count="1" selected="0">
            <x v="14"/>
          </reference>
        </references>
      </pivotArea>
    </format>
    <format dxfId="2727">
      <pivotArea field="0" dataOnly="0" labelOnly="1" grandRow="1" outline="0" axis="axisRow" fieldPosition="0">
        <references count="1">
          <reference field="4294967294" count="1" selected="0">
            <x v="15"/>
          </reference>
        </references>
      </pivotArea>
    </format>
    <format dxfId="2726">
      <pivotArea field="0" dataOnly="0" labelOnly="1" grandRow="1" outline="0" axis="axisRow" fieldPosition="0">
        <references count="1">
          <reference field="4294967294" count="1" selected="0">
            <x v="16"/>
          </reference>
        </references>
      </pivotArea>
    </format>
    <format dxfId="2725">
      <pivotArea field="0" dataOnly="0" labelOnly="1" grandRow="1" outline="0" axis="axisRow" fieldPosition="0">
        <references count="1">
          <reference field="4294967294" count="1" selected="0">
            <x v="17"/>
          </reference>
        </references>
      </pivotArea>
    </format>
    <format dxfId="2724">
      <pivotArea field="0" dataOnly="0" labelOnly="1" grandRow="1" outline="0" axis="axisRow" fieldPosition="0">
        <references count="1">
          <reference field="4294967294" count="1" selected="0">
            <x v="18"/>
          </reference>
        </references>
      </pivotArea>
    </format>
    <format dxfId="2723">
      <pivotArea field="0" dataOnly="0" labelOnly="1" grandRow="1" outline="0" axis="axisRow" fieldPosition="0">
        <references count="1">
          <reference field="4294967294" count="1" selected="0">
            <x v="19"/>
          </reference>
        </references>
      </pivotArea>
    </format>
    <format dxfId="2722">
      <pivotArea field="0" dataOnly="0" labelOnly="1" grandRow="1" outline="0" axis="axisRow" fieldPosition="0">
        <references count="1">
          <reference field="4294967294" count="1" selected="0">
            <x v="20"/>
          </reference>
        </references>
      </pivotArea>
    </format>
    <format dxfId="2721">
      <pivotArea field="0" dataOnly="0" labelOnly="1" grandRow="1" outline="0" axis="axisRow" fieldPosition="0">
        <references count="1">
          <reference field="4294967294" count="1" selected="0">
            <x v="21"/>
          </reference>
        </references>
      </pivotArea>
    </format>
    <format dxfId="2720">
      <pivotArea field="0" dataOnly="0" labelOnly="1" grandRow="1" outline="0" axis="axisRow" fieldPosition="0">
        <references count="1">
          <reference field="4294967294" count="1" selected="0">
            <x v="22"/>
          </reference>
        </references>
      </pivotArea>
    </format>
    <format dxfId="2719">
      <pivotArea field="0" dataOnly="0" labelOnly="1" grandRow="1" outline="0" axis="axisRow" fieldPosition="0">
        <references count="1">
          <reference field="4294967294" count="1" selected="0">
            <x v="23"/>
          </reference>
        </references>
      </pivotArea>
    </format>
    <format dxfId="2718">
      <pivotArea field="0" dataOnly="0" labelOnly="1" grandRow="1" outline="0" axis="axisRow" fieldPosition="0">
        <references count="1">
          <reference field="4294967294" count="1" selected="0">
            <x v="24"/>
          </reference>
        </references>
      </pivotArea>
    </format>
    <format dxfId="2717">
      <pivotArea field="0" dataOnly="0" labelOnly="1" grandRow="1" outline="0" axis="axisRow" fieldPosition="0">
        <references count="1">
          <reference field="4294967294" count="1" selected="0">
            <x v="25"/>
          </reference>
        </references>
      </pivotArea>
    </format>
    <format dxfId="2716">
      <pivotArea field="0" dataOnly="0" labelOnly="1" grandRow="1" outline="0" axis="axisRow" fieldPosition="0">
        <references count="1">
          <reference field="4294967294" count="1" selected="0">
            <x v="26"/>
          </reference>
        </references>
      </pivotArea>
    </format>
    <format dxfId="2715">
      <pivotArea field="0" dataOnly="0" labelOnly="1" grandRow="1" outline="0" axis="axisRow" fieldPosition="0">
        <references count="1">
          <reference field="4294967294" count="1" selected="0">
            <x v="27"/>
          </reference>
        </references>
      </pivotArea>
    </format>
    <format dxfId="2714">
      <pivotArea field="0" dataOnly="0" labelOnly="1" grandRow="1" outline="0" axis="axisRow" fieldPosition="0">
        <references count="1">
          <reference field="4294967294" count="1" selected="0">
            <x v="28"/>
          </reference>
        </references>
      </pivotArea>
    </format>
    <format dxfId="2713">
      <pivotArea field="0" dataOnly="0" labelOnly="1" grandRow="1" outline="0" axis="axisRow" fieldPosition="0">
        <references count="1">
          <reference field="4294967294" count="1" selected="0">
            <x v="29"/>
          </reference>
        </references>
      </pivotArea>
    </format>
    <format dxfId="2712">
      <pivotArea field="0" dataOnly="0" labelOnly="1" grandRow="1" outline="0" axis="axisRow" fieldPosition="0">
        <references count="1">
          <reference field="4294967294" count="1" selected="0">
            <x v="30"/>
          </reference>
        </references>
      </pivotArea>
    </format>
    <format dxfId="2711">
      <pivotArea field="0" dataOnly="0" labelOnly="1" grandRow="1" outline="0" axis="axisRow" fieldPosition="0">
        <references count="1">
          <reference field="4294967294" count="1" selected="0">
            <x v="31"/>
          </reference>
        </references>
      </pivotArea>
    </format>
    <format dxfId="2710">
      <pivotArea field="0" dataOnly="0" labelOnly="1" grandRow="1" outline="0" axis="axisRow" fieldPosition="0">
        <references count="1">
          <reference field="4294967294" count="1" selected="0">
            <x v="32"/>
          </reference>
        </references>
      </pivotArea>
    </format>
    <format dxfId="2709">
      <pivotArea field="0" dataOnly="0" labelOnly="1" grandRow="1" outline="0" axis="axisRow" fieldPosition="0">
        <references count="1">
          <reference field="4294967294" count="1" selected="0">
            <x v="33"/>
          </reference>
        </references>
      </pivotArea>
    </format>
    <format dxfId="2708">
      <pivotArea field="0" dataOnly="0" labelOnly="1" grandRow="1" outline="0" axis="axisRow" fieldPosition="0">
        <references count="1">
          <reference field="4294967294" count="1" selected="0">
            <x v="34"/>
          </reference>
        </references>
      </pivotArea>
    </format>
    <format dxfId="2707">
      <pivotArea field="0" dataOnly="0" labelOnly="1" grandRow="1" outline="0" axis="axisRow" fieldPosition="0">
        <references count="1">
          <reference field="4294967294" count="1" selected="0">
            <x v="35"/>
          </reference>
        </references>
      </pivotArea>
    </format>
    <format dxfId="2706">
      <pivotArea field="0" dataOnly="0" labelOnly="1" grandRow="1" outline="0" axis="axisRow" fieldPosition="0">
        <references count="1">
          <reference field="4294967294" count="1" selected="0">
            <x v="0"/>
          </reference>
        </references>
      </pivotArea>
    </format>
    <format dxfId="2705">
      <pivotArea field="0" dataOnly="0" labelOnly="1" grandRow="1" outline="0" axis="axisRow" fieldPosition="0">
        <references count="1">
          <reference field="4294967294" count="1" selected="0">
            <x v="1"/>
          </reference>
        </references>
      </pivotArea>
    </format>
    <format dxfId="2704">
      <pivotArea field="0" dataOnly="0" labelOnly="1" grandRow="1" outline="0" axis="axisRow" fieldPosition="0">
        <references count="1">
          <reference field="4294967294" count="1" selected="0">
            <x v="2"/>
          </reference>
        </references>
      </pivotArea>
    </format>
    <format dxfId="2703">
      <pivotArea field="0" dataOnly="0" labelOnly="1" grandRow="1" outline="0" axis="axisRow" fieldPosition="0">
        <references count="1">
          <reference field="4294967294" count="1" selected="0">
            <x v="3"/>
          </reference>
        </references>
      </pivotArea>
    </format>
    <format dxfId="2702">
      <pivotArea field="0" dataOnly="0" labelOnly="1" grandRow="1" outline="0" axis="axisRow" fieldPosition="0">
        <references count="1">
          <reference field="4294967294" count="1" selected="0">
            <x v="4"/>
          </reference>
        </references>
      </pivotArea>
    </format>
    <format dxfId="2701">
      <pivotArea field="0" dataOnly="0" labelOnly="1" grandRow="1" outline="0" axis="axisRow" fieldPosition="0">
        <references count="1">
          <reference field="4294967294" count="1" selected="0">
            <x v="5"/>
          </reference>
        </references>
      </pivotArea>
    </format>
    <format dxfId="2700">
      <pivotArea field="0" dataOnly="0" labelOnly="1" grandRow="1" outline="0" axis="axisRow" fieldPosition="0">
        <references count="1">
          <reference field="4294967294" count="1" selected="0">
            <x v="6"/>
          </reference>
        </references>
      </pivotArea>
    </format>
    <format dxfId="2699">
      <pivotArea field="0" dataOnly="0" labelOnly="1" grandRow="1" outline="0" axis="axisRow" fieldPosition="0">
        <references count="1">
          <reference field="4294967294" count="1" selected="0">
            <x v="7"/>
          </reference>
        </references>
      </pivotArea>
    </format>
    <format dxfId="2698">
      <pivotArea field="0" dataOnly="0" labelOnly="1" grandRow="1" outline="0" axis="axisRow" fieldPosition="0">
        <references count="1">
          <reference field="4294967294" count="1" selected="0">
            <x v="8"/>
          </reference>
        </references>
      </pivotArea>
    </format>
    <format dxfId="2697">
      <pivotArea field="0" dataOnly="0" labelOnly="1" grandRow="1" outline="0" axis="axisRow" fieldPosition="0">
        <references count="1">
          <reference field="4294967294" count="1" selected="0">
            <x v="9"/>
          </reference>
        </references>
      </pivotArea>
    </format>
    <format dxfId="2696">
      <pivotArea field="0" dataOnly="0" labelOnly="1" grandRow="1" outline="0" axis="axisRow" fieldPosition="0">
        <references count="1">
          <reference field="4294967294" count="1" selected="0">
            <x v="10"/>
          </reference>
        </references>
      </pivotArea>
    </format>
    <format dxfId="2695">
      <pivotArea field="0" dataOnly="0" labelOnly="1" grandRow="1" outline="0" axis="axisRow" fieldPosition="0">
        <references count="1">
          <reference field="4294967294" count="1" selected="0">
            <x v="11"/>
          </reference>
        </references>
      </pivotArea>
    </format>
    <format dxfId="2694">
      <pivotArea field="0" dataOnly="0" labelOnly="1" grandRow="1" outline="0" axis="axisRow" fieldPosition="0">
        <references count="1">
          <reference field="4294967294" count="1" selected="0">
            <x v="12"/>
          </reference>
        </references>
      </pivotArea>
    </format>
    <format dxfId="2693">
      <pivotArea field="0" dataOnly="0" labelOnly="1" grandRow="1" outline="0" axis="axisRow" fieldPosition="0">
        <references count="1">
          <reference field="4294967294" count="1" selected="0">
            <x v="13"/>
          </reference>
        </references>
      </pivotArea>
    </format>
    <format dxfId="2692">
      <pivotArea field="0" dataOnly="0" labelOnly="1" grandRow="1" outline="0" axis="axisRow" fieldPosition="0">
        <references count="1">
          <reference field="4294967294" count="1" selected="0">
            <x v="14"/>
          </reference>
        </references>
      </pivotArea>
    </format>
    <format dxfId="2691">
      <pivotArea field="0" dataOnly="0" labelOnly="1" grandRow="1" outline="0" axis="axisRow" fieldPosition="0">
        <references count="1">
          <reference field="4294967294" count="1" selected="0">
            <x v="15"/>
          </reference>
        </references>
      </pivotArea>
    </format>
    <format dxfId="2690">
      <pivotArea field="0" dataOnly="0" labelOnly="1" grandRow="1" outline="0" axis="axisRow" fieldPosition="0">
        <references count="1">
          <reference field="4294967294" count="1" selected="0">
            <x v="16"/>
          </reference>
        </references>
      </pivotArea>
    </format>
    <format dxfId="2689">
      <pivotArea field="0" dataOnly="0" labelOnly="1" grandRow="1" outline="0" axis="axisRow" fieldPosition="0">
        <references count="1">
          <reference field="4294967294" count="1" selected="0">
            <x v="17"/>
          </reference>
        </references>
      </pivotArea>
    </format>
    <format dxfId="2688">
      <pivotArea field="0" dataOnly="0" labelOnly="1" grandRow="1" outline="0" axis="axisRow" fieldPosition="0">
        <references count="1">
          <reference field="4294967294" count="1" selected="0">
            <x v="18"/>
          </reference>
        </references>
      </pivotArea>
    </format>
    <format dxfId="2687">
      <pivotArea field="0" dataOnly="0" labelOnly="1" grandRow="1" outline="0" axis="axisRow" fieldPosition="0">
        <references count="1">
          <reference field="4294967294" count="1" selected="0">
            <x v="19"/>
          </reference>
        </references>
      </pivotArea>
    </format>
    <format dxfId="2686">
      <pivotArea field="0" dataOnly="0" labelOnly="1" grandRow="1" outline="0" axis="axisRow" fieldPosition="0">
        <references count="1">
          <reference field="4294967294" count="1" selected="0">
            <x v="20"/>
          </reference>
        </references>
      </pivotArea>
    </format>
    <format dxfId="2685">
      <pivotArea field="0" dataOnly="0" labelOnly="1" grandRow="1" outline="0" axis="axisRow" fieldPosition="0">
        <references count="1">
          <reference field="4294967294" count="1" selected="0">
            <x v="21"/>
          </reference>
        </references>
      </pivotArea>
    </format>
    <format dxfId="2684">
      <pivotArea field="0" dataOnly="0" labelOnly="1" grandRow="1" outline="0" axis="axisRow" fieldPosition="0">
        <references count="1">
          <reference field="4294967294" count="1" selected="0">
            <x v="22"/>
          </reference>
        </references>
      </pivotArea>
    </format>
    <format dxfId="2683">
      <pivotArea field="0" dataOnly="0" labelOnly="1" grandRow="1" outline="0" axis="axisRow" fieldPosition="0">
        <references count="1">
          <reference field="4294967294" count="1" selected="0">
            <x v="23"/>
          </reference>
        </references>
      </pivotArea>
    </format>
    <format dxfId="2682">
      <pivotArea field="0" dataOnly="0" labelOnly="1" grandRow="1" outline="0" axis="axisRow" fieldPosition="0">
        <references count="1">
          <reference field="4294967294" count="1" selected="0">
            <x v="24"/>
          </reference>
        </references>
      </pivotArea>
    </format>
    <format dxfId="2681">
      <pivotArea field="0" dataOnly="0" labelOnly="1" grandRow="1" outline="0" axis="axisRow" fieldPosition="0">
        <references count="1">
          <reference field="4294967294" count="1" selected="0">
            <x v="25"/>
          </reference>
        </references>
      </pivotArea>
    </format>
    <format dxfId="2680">
      <pivotArea field="0" dataOnly="0" labelOnly="1" grandRow="1" outline="0" axis="axisRow" fieldPosition="0">
        <references count="1">
          <reference field="4294967294" count="1" selected="0">
            <x v="26"/>
          </reference>
        </references>
      </pivotArea>
    </format>
    <format dxfId="2679">
      <pivotArea field="0" dataOnly="0" labelOnly="1" grandRow="1" outline="0" axis="axisRow" fieldPosition="0">
        <references count="1">
          <reference field="4294967294" count="1" selected="0">
            <x v="27"/>
          </reference>
        </references>
      </pivotArea>
    </format>
    <format dxfId="2678">
      <pivotArea field="0" dataOnly="0" labelOnly="1" grandRow="1" outline="0" axis="axisRow" fieldPosition="0">
        <references count="1">
          <reference field="4294967294" count="1" selected="0">
            <x v="28"/>
          </reference>
        </references>
      </pivotArea>
    </format>
    <format dxfId="2677">
      <pivotArea field="0" dataOnly="0" labelOnly="1" grandRow="1" outline="0" axis="axisRow" fieldPosition="0">
        <references count="1">
          <reference field="4294967294" count="1" selected="0">
            <x v="29"/>
          </reference>
        </references>
      </pivotArea>
    </format>
    <format dxfId="2676">
      <pivotArea field="0" dataOnly="0" labelOnly="1" grandRow="1" outline="0" axis="axisRow" fieldPosition="0">
        <references count="1">
          <reference field="4294967294" count="1" selected="0">
            <x v="30"/>
          </reference>
        </references>
      </pivotArea>
    </format>
    <format dxfId="2675">
      <pivotArea field="0" dataOnly="0" labelOnly="1" grandRow="1" outline="0" axis="axisRow" fieldPosition="0">
        <references count="1">
          <reference field="4294967294" count="1" selected="0">
            <x v="31"/>
          </reference>
        </references>
      </pivotArea>
    </format>
    <format dxfId="2674">
      <pivotArea field="0" dataOnly="0" labelOnly="1" grandRow="1" outline="0" axis="axisRow" fieldPosition="0">
        <references count="1">
          <reference field="4294967294" count="1" selected="0">
            <x v="32"/>
          </reference>
        </references>
      </pivotArea>
    </format>
    <format dxfId="2673">
      <pivotArea field="0" dataOnly="0" labelOnly="1" grandRow="1" outline="0" axis="axisRow" fieldPosition="0">
        <references count="1">
          <reference field="4294967294" count="1" selected="0">
            <x v="33"/>
          </reference>
        </references>
      </pivotArea>
    </format>
    <format dxfId="2672">
      <pivotArea field="0" dataOnly="0" labelOnly="1" grandRow="1" outline="0" axis="axisRow" fieldPosition="0">
        <references count="1">
          <reference field="4294967294" count="1" selected="0">
            <x v="34"/>
          </reference>
        </references>
      </pivotArea>
    </format>
    <format dxfId="2671">
      <pivotArea field="0" dataOnly="0" labelOnly="1" grandRow="1" outline="0" axis="axisRow" fieldPosition="0">
        <references count="1">
          <reference field="4294967294" count="1" selected="0">
            <x v="35"/>
          </reference>
        </references>
      </pivotArea>
    </format>
    <format dxfId="2670">
      <pivotArea field="0" dataOnly="0" labelOnly="1" grandRow="1" outline="0" axis="axisRow" fieldPosition="0">
        <references count="1">
          <reference field="4294967294" count="1" selected="0">
            <x v="0"/>
          </reference>
        </references>
      </pivotArea>
    </format>
    <format dxfId="2669">
      <pivotArea field="0" dataOnly="0" labelOnly="1" grandRow="1" outline="0" axis="axisRow" fieldPosition="0">
        <references count="1">
          <reference field="4294967294" count="1" selected="0">
            <x v="1"/>
          </reference>
        </references>
      </pivotArea>
    </format>
    <format dxfId="2668">
      <pivotArea field="0" dataOnly="0" labelOnly="1" grandRow="1" outline="0" axis="axisRow" fieldPosition="0">
        <references count="1">
          <reference field="4294967294" count="1" selected="0">
            <x v="2"/>
          </reference>
        </references>
      </pivotArea>
    </format>
    <format dxfId="2667">
      <pivotArea field="0" dataOnly="0" labelOnly="1" grandRow="1" outline="0" axis="axisRow" fieldPosition="0">
        <references count="1">
          <reference field="4294967294" count="1" selected="0">
            <x v="3"/>
          </reference>
        </references>
      </pivotArea>
    </format>
    <format dxfId="2666">
      <pivotArea field="0" dataOnly="0" labelOnly="1" grandRow="1" outline="0" axis="axisRow" fieldPosition="0">
        <references count="1">
          <reference field="4294967294" count="1" selected="0">
            <x v="4"/>
          </reference>
        </references>
      </pivotArea>
    </format>
    <format dxfId="2665">
      <pivotArea field="0" dataOnly="0" labelOnly="1" grandRow="1" outline="0" axis="axisRow" fieldPosition="0">
        <references count="1">
          <reference field="4294967294" count="1" selected="0">
            <x v="5"/>
          </reference>
        </references>
      </pivotArea>
    </format>
    <format dxfId="2664">
      <pivotArea field="0" dataOnly="0" labelOnly="1" grandRow="1" outline="0" axis="axisRow" fieldPosition="0">
        <references count="1">
          <reference field="4294967294" count="1" selected="0">
            <x v="6"/>
          </reference>
        </references>
      </pivotArea>
    </format>
    <format dxfId="2663">
      <pivotArea field="0" dataOnly="0" labelOnly="1" grandRow="1" outline="0" axis="axisRow" fieldPosition="0">
        <references count="1">
          <reference field="4294967294" count="1" selected="0">
            <x v="7"/>
          </reference>
        </references>
      </pivotArea>
    </format>
    <format dxfId="2662">
      <pivotArea field="0" dataOnly="0" labelOnly="1" grandRow="1" outline="0" axis="axisRow" fieldPosition="0">
        <references count="1">
          <reference field="4294967294" count="1" selected="0">
            <x v="8"/>
          </reference>
        </references>
      </pivotArea>
    </format>
    <format dxfId="2661">
      <pivotArea field="0" dataOnly="0" labelOnly="1" grandRow="1" outline="0" axis="axisRow" fieldPosition="0">
        <references count="1">
          <reference field="4294967294" count="1" selected="0">
            <x v="9"/>
          </reference>
        </references>
      </pivotArea>
    </format>
    <format dxfId="2660">
      <pivotArea field="0" dataOnly="0" labelOnly="1" grandRow="1" outline="0" axis="axisRow" fieldPosition="0">
        <references count="1">
          <reference field="4294967294" count="1" selected="0">
            <x v="10"/>
          </reference>
        </references>
      </pivotArea>
    </format>
    <format dxfId="2659">
      <pivotArea field="0" dataOnly="0" labelOnly="1" grandRow="1" outline="0" axis="axisRow" fieldPosition="0">
        <references count="1">
          <reference field="4294967294" count="1" selected="0">
            <x v="11"/>
          </reference>
        </references>
      </pivotArea>
    </format>
    <format dxfId="2658">
      <pivotArea field="0" dataOnly="0" labelOnly="1" grandRow="1" outline="0" axis="axisRow" fieldPosition="0">
        <references count="1">
          <reference field="4294967294" count="1" selected="0">
            <x v="12"/>
          </reference>
        </references>
      </pivotArea>
    </format>
    <format dxfId="2657">
      <pivotArea field="0" dataOnly="0" labelOnly="1" grandRow="1" outline="0" axis="axisRow" fieldPosition="0">
        <references count="1">
          <reference field="4294967294" count="1" selected="0">
            <x v="13"/>
          </reference>
        </references>
      </pivotArea>
    </format>
    <format dxfId="2656">
      <pivotArea field="0" dataOnly="0" labelOnly="1" grandRow="1" outline="0" axis="axisRow" fieldPosition="0">
        <references count="1">
          <reference field="4294967294" count="1" selected="0">
            <x v="14"/>
          </reference>
        </references>
      </pivotArea>
    </format>
    <format dxfId="2655">
      <pivotArea field="0" dataOnly="0" labelOnly="1" grandRow="1" outline="0" axis="axisRow" fieldPosition="0">
        <references count="1">
          <reference field="4294967294" count="1" selected="0">
            <x v="15"/>
          </reference>
        </references>
      </pivotArea>
    </format>
    <format dxfId="2654">
      <pivotArea field="0" dataOnly="0" labelOnly="1" grandRow="1" outline="0" axis="axisRow" fieldPosition="0">
        <references count="1">
          <reference field="4294967294" count="1" selected="0">
            <x v="16"/>
          </reference>
        </references>
      </pivotArea>
    </format>
    <format dxfId="2653">
      <pivotArea field="0" dataOnly="0" labelOnly="1" grandRow="1" outline="0" axis="axisRow" fieldPosition="0">
        <references count="1">
          <reference field="4294967294" count="1" selected="0">
            <x v="17"/>
          </reference>
        </references>
      </pivotArea>
    </format>
    <format dxfId="2652">
      <pivotArea field="0" dataOnly="0" labelOnly="1" grandRow="1" outline="0" axis="axisRow" fieldPosition="0">
        <references count="1">
          <reference field="4294967294" count="1" selected="0">
            <x v="18"/>
          </reference>
        </references>
      </pivotArea>
    </format>
    <format dxfId="2651">
      <pivotArea field="0" dataOnly="0" labelOnly="1" grandRow="1" outline="0" axis="axisRow" fieldPosition="0">
        <references count="1">
          <reference field="4294967294" count="1" selected="0">
            <x v="19"/>
          </reference>
        </references>
      </pivotArea>
    </format>
    <format dxfId="2650">
      <pivotArea field="0" dataOnly="0" labelOnly="1" grandRow="1" outline="0" axis="axisRow" fieldPosition="0">
        <references count="1">
          <reference field="4294967294" count="1" selected="0">
            <x v="20"/>
          </reference>
        </references>
      </pivotArea>
    </format>
    <format dxfId="2649">
      <pivotArea field="0" dataOnly="0" labelOnly="1" grandRow="1" outline="0" axis="axisRow" fieldPosition="0">
        <references count="1">
          <reference field="4294967294" count="1" selected="0">
            <x v="21"/>
          </reference>
        </references>
      </pivotArea>
    </format>
    <format dxfId="2648">
      <pivotArea field="0" dataOnly="0" labelOnly="1" grandRow="1" outline="0" axis="axisRow" fieldPosition="0">
        <references count="1">
          <reference field="4294967294" count="1" selected="0">
            <x v="22"/>
          </reference>
        </references>
      </pivotArea>
    </format>
    <format dxfId="2647">
      <pivotArea field="0" dataOnly="0" labelOnly="1" grandRow="1" outline="0" axis="axisRow" fieldPosition="0">
        <references count="1">
          <reference field="4294967294" count="1" selected="0">
            <x v="23"/>
          </reference>
        </references>
      </pivotArea>
    </format>
    <format dxfId="2646">
      <pivotArea field="0" dataOnly="0" labelOnly="1" grandRow="1" outline="0" axis="axisRow" fieldPosition="0">
        <references count="1">
          <reference field="4294967294" count="1" selected="0">
            <x v="24"/>
          </reference>
        </references>
      </pivotArea>
    </format>
    <format dxfId="2645">
      <pivotArea field="0" dataOnly="0" labelOnly="1" grandRow="1" outline="0" axis="axisRow" fieldPosition="0">
        <references count="1">
          <reference field="4294967294" count="1" selected="0">
            <x v="25"/>
          </reference>
        </references>
      </pivotArea>
    </format>
    <format dxfId="2644">
      <pivotArea field="0" dataOnly="0" labelOnly="1" grandRow="1" outline="0" axis="axisRow" fieldPosition="0">
        <references count="1">
          <reference field="4294967294" count="1" selected="0">
            <x v="26"/>
          </reference>
        </references>
      </pivotArea>
    </format>
    <format dxfId="2643">
      <pivotArea field="0" dataOnly="0" labelOnly="1" grandRow="1" outline="0" axis="axisRow" fieldPosition="0">
        <references count="1">
          <reference field="4294967294" count="1" selected="0">
            <x v="27"/>
          </reference>
        </references>
      </pivotArea>
    </format>
    <format dxfId="2642">
      <pivotArea field="0" dataOnly="0" labelOnly="1" grandRow="1" outline="0" axis="axisRow" fieldPosition="0">
        <references count="1">
          <reference field="4294967294" count="1" selected="0">
            <x v="28"/>
          </reference>
        </references>
      </pivotArea>
    </format>
    <format dxfId="2641">
      <pivotArea field="0" dataOnly="0" labelOnly="1" grandRow="1" outline="0" axis="axisRow" fieldPosition="0">
        <references count="1">
          <reference field="4294967294" count="1" selected="0">
            <x v="29"/>
          </reference>
        </references>
      </pivotArea>
    </format>
    <format dxfId="2640">
      <pivotArea field="0" dataOnly="0" labelOnly="1" grandRow="1" outline="0" axis="axisRow" fieldPosition="0">
        <references count="1">
          <reference field="4294967294" count="1" selected="0">
            <x v="30"/>
          </reference>
        </references>
      </pivotArea>
    </format>
    <format dxfId="2639">
      <pivotArea field="0" dataOnly="0" labelOnly="1" grandRow="1" outline="0" axis="axisRow" fieldPosition="0">
        <references count="1">
          <reference field="4294967294" count="1" selected="0">
            <x v="31"/>
          </reference>
        </references>
      </pivotArea>
    </format>
    <format dxfId="2638">
      <pivotArea field="0" dataOnly="0" labelOnly="1" grandRow="1" outline="0" axis="axisRow" fieldPosition="0">
        <references count="1">
          <reference field="4294967294" count="1" selected="0">
            <x v="32"/>
          </reference>
        </references>
      </pivotArea>
    </format>
    <format dxfId="2637">
      <pivotArea field="0" dataOnly="0" labelOnly="1" grandRow="1" outline="0" axis="axisRow" fieldPosition="0">
        <references count="1">
          <reference field="4294967294" count="1" selected="0">
            <x v="33"/>
          </reference>
        </references>
      </pivotArea>
    </format>
    <format dxfId="2636">
      <pivotArea field="0" dataOnly="0" labelOnly="1" grandRow="1" outline="0" axis="axisRow" fieldPosition="0">
        <references count="1">
          <reference field="4294967294" count="1" selected="0">
            <x v="34"/>
          </reference>
        </references>
      </pivotArea>
    </format>
    <format dxfId="2635">
      <pivotArea field="0" dataOnly="0" labelOnly="1" grandRow="1" outline="0" axis="axisRow" fieldPosition="0">
        <references count="1">
          <reference field="4294967294" count="1" selected="0">
            <x v="35"/>
          </reference>
        </references>
      </pivotArea>
    </format>
    <format dxfId="2634">
      <pivotArea field="0" dataOnly="0" labelOnly="1" grandRow="1" outline="0" axis="axisRow" fieldPosition="0">
        <references count="1">
          <reference field="4294967294" count="1" selected="0">
            <x v="0"/>
          </reference>
        </references>
      </pivotArea>
    </format>
    <format dxfId="2633">
      <pivotArea field="0" dataOnly="0" labelOnly="1" grandRow="1" outline="0" axis="axisRow" fieldPosition="0">
        <references count="1">
          <reference field="4294967294" count="1" selected="0">
            <x v="1"/>
          </reference>
        </references>
      </pivotArea>
    </format>
    <format dxfId="2632">
      <pivotArea field="0" dataOnly="0" labelOnly="1" grandRow="1" outline="0" axis="axisRow" fieldPosition="0">
        <references count="1">
          <reference field="4294967294" count="1" selected="0">
            <x v="2"/>
          </reference>
        </references>
      </pivotArea>
    </format>
    <format dxfId="2631">
      <pivotArea field="0" dataOnly="0" labelOnly="1" grandRow="1" outline="0" axis="axisRow" fieldPosition="0">
        <references count="1">
          <reference field="4294967294" count="1" selected="0">
            <x v="3"/>
          </reference>
        </references>
      </pivotArea>
    </format>
    <format dxfId="2630">
      <pivotArea field="0" dataOnly="0" labelOnly="1" grandRow="1" outline="0" axis="axisRow" fieldPosition="0">
        <references count="1">
          <reference field="4294967294" count="1" selected="0">
            <x v="4"/>
          </reference>
        </references>
      </pivotArea>
    </format>
    <format dxfId="2629">
      <pivotArea field="0" dataOnly="0" labelOnly="1" grandRow="1" outline="0" axis="axisRow" fieldPosition="0">
        <references count="1">
          <reference field="4294967294" count="1" selected="0">
            <x v="5"/>
          </reference>
        </references>
      </pivotArea>
    </format>
    <format dxfId="2628">
      <pivotArea field="0" dataOnly="0" labelOnly="1" grandRow="1" outline="0" axis="axisRow" fieldPosition="0">
        <references count="1">
          <reference field="4294967294" count="1" selected="0">
            <x v="6"/>
          </reference>
        </references>
      </pivotArea>
    </format>
    <format dxfId="2627">
      <pivotArea field="0" dataOnly="0" labelOnly="1" grandRow="1" outline="0" axis="axisRow" fieldPosition="0">
        <references count="1">
          <reference field="4294967294" count="1" selected="0">
            <x v="7"/>
          </reference>
        </references>
      </pivotArea>
    </format>
    <format dxfId="2626">
      <pivotArea field="0" dataOnly="0" labelOnly="1" grandRow="1" outline="0" axis="axisRow" fieldPosition="0">
        <references count="1">
          <reference field="4294967294" count="1" selected="0">
            <x v="8"/>
          </reference>
        </references>
      </pivotArea>
    </format>
    <format dxfId="2625">
      <pivotArea field="0" dataOnly="0" labelOnly="1" grandRow="1" outline="0" axis="axisRow" fieldPosition="0">
        <references count="1">
          <reference field="4294967294" count="1" selected="0">
            <x v="9"/>
          </reference>
        </references>
      </pivotArea>
    </format>
    <format dxfId="2624">
      <pivotArea field="0" dataOnly="0" labelOnly="1" grandRow="1" outline="0" axis="axisRow" fieldPosition="0">
        <references count="1">
          <reference field="4294967294" count="1" selected="0">
            <x v="10"/>
          </reference>
        </references>
      </pivotArea>
    </format>
    <format dxfId="2623">
      <pivotArea field="0" dataOnly="0" labelOnly="1" grandRow="1" outline="0" axis="axisRow" fieldPosition="0">
        <references count="1">
          <reference field="4294967294" count="1" selected="0">
            <x v="11"/>
          </reference>
        </references>
      </pivotArea>
    </format>
    <format dxfId="2622">
      <pivotArea field="0" dataOnly="0" labelOnly="1" grandRow="1" outline="0" axis="axisRow" fieldPosition="0">
        <references count="1">
          <reference field="4294967294" count="1" selected="0">
            <x v="12"/>
          </reference>
        </references>
      </pivotArea>
    </format>
    <format dxfId="2621">
      <pivotArea field="0" dataOnly="0" labelOnly="1" grandRow="1" outline="0" axis="axisRow" fieldPosition="0">
        <references count="1">
          <reference field="4294967294" count="1" selected="0">
            <x v="13"/>
          </reference>
        </references>
      </pivotArea>
    </format>
    <format dxfId="2620">
      <pivotArea field="0" dataOnly="0" labelOnly="1" grandRow="1" outline="0" axis="axisRow" fieldPosition="0">
        <references count="1">
          <reference field="4294967294" count="1" selected="0">
            <x v="14"/>
          </reference>
        </references>
      </pivotArea>
    </format>
    <format dxfId="2619">
      <pivotArea field="0" dataOnly="0" labelOnly="1" grandRow="1" outline="0" axis="axisRow" fieldPosition="0">
        <references count="1">
          <reference field="4294967294" count="1" selected="0">
            <x v="15"/>
          </reference>
        </references>
      </pivotArea>
    </format>
    <format dxfId="2618">
      <pivotArea field="0" dataOnly="0" labelOnly="1" grandRow="1" outline="0" axis="axisRow" fieldPosition="0">
        <references count="1">
          <reference field="4294967294" count="1" selected="0">
            <x v="16"/>
          </reference>
        </references>
      </pivotArea>
    </format>
    <format dxfId="2617">
      <pivotArea field="0" dataOnly="0" labelOnly="1" grandRow="1" outline="0" axis="axisRow" fieldPosition="0">
        <references count="1">
          <reference field="4294967294" count="1" selected="0">
            <x v="17"/>
          </reference>
        </references>
      </pivotArea>
    </format>
    <format dxfId="2616">
      <pivotArea field="0" dataOnly="0" labelOnly="1" grandRow="1" outline="0" axis="axisRow" fieldPosition="0">
        <references count="1">
          <reference field="4294967294" count="1" selected="0">
            <x v="18"/>
          </reference>
        </references>
      </pivotArea>
    </format>
    <format dxfId="2615">
      <pivotArea field="0" dataOnly="0" labelOnly="1" grandRow="1" outline="0" axis="axisRow" fieldPosition="0">
        <references count="1">
          <reference field="4294967294" count="1" selected="0">
            <x v="19"/>
          </reference>
        </references>
      </pivotArea>
    </format>
    <format dxfId="2614">
      <pivotArea field="0" dataOnly="0" labelOnly="1" grandRow="1" outline="0" axis="axisRow" fieldPosition="0">
        <references count="1">
          <reference field="4294967294" count="1" selected="0">
            <x v="20"/>
          </reference>
        </references>
      </pivotArea>
    </format>
    <format dxfId="2613">
      <pivotArea field="0" dataOnly="0" labelOnly="1" grandRow="1" outline="0" axis="axisRow" fieldPosition="0">
        <references count="1">
          <reference field="4294967294" count="1" selected="0">
            <x v="21"/>
          </reference>
        </references>
      </pivotArea>
    </format>
    <format dxfId="2612">
      <pivotArea field="0" dataOnly="0" labelOnly="1" grandRow="1" outline="0" axis="axisRow" fieldPosition="0">
        <references count="1">
          <reference field="4294967294" count="1" selected="0">
            <x v="22"/>
          </reference>
        </references>
      </pivotArea>
    </format>
    <format dxfId="2611">
      <pivotArea field="0" dataOnly="0" labelOnly="1" grandRow="1" outline="0" axis="axisRow" fieldPosition="0">
        <references count="1">
          <reference field="4294967294" count="1" selected="0">
            <x v="23"/>
          </reference>
        </references>
      </pivotArea>
    </format>
    <format dxfId="2610">
      <pivotArea field="0" dataOnly="0" labelOnly="1" grandRow="1" outline="0" axis="axisRow" fieldPosition="0">
        <references count="1">
          <reference field="4294967294" count="1" selected="0">
            <x v="24"/>
          </reference>
        </references>
      </pivotArea>
    </format>
    <format dxfId="2609">
      <pivotArea field="0" dataOnly="0" labelOnly="1" grandRow="1" outline="0" axis="axisRow" fieldPosition="0">
        <references count="1">
          <reference field="4294967294" count="1" selected="0">
            <x v="25"/>
          </reference>
        </references>
      </pivotArea>
    </format>
    <format dxfId="2608">
      <pivotArea field="0" dataOnly="0" labelOnly="1" grandRow="1" outline="0" axis="axisRow" fieldPosition="0">
        <references count="1">
          <reference field="4294967294" count="1" selected="0">
            <x v="26"/>
          </reference>
        </references>
      </pivotArea>
    </format>
    <format dxfId="2607">
      <pivotArea field="0" dataOnly="0" labelOnly="1" grandRow="1" outline="0" axis="axisRow" fieldPosition="0">
        <references count="1">
          <reference field="4294967294" count="1" selected="0">
            <x v="27"/>
          </reference>
        </references>
      </pivotArea>
    </format>
    <format dxfId="2606">
      <pivotArea field="0" dataOnly="0" labelOnly="1" grandRow="1" outline="0" axis="axisRow" fieldPosition="0">
        <references count="1">
          <reference field="4294967294" count="1" selected="0">
            <x v="28"/>
          </reference>
        </references>
      </pivotArea>
    </format>
    <format dxfId="2605">
      <pivotArea field="0" dataOnly="0" labelOnly="1" grandRow="1" outline="0" axis="axisRow" fieldPosition="0">
        <references count="1">
          <reference field="4294967294" count="1" selected="0">
            <x v="29"/>
          </reference>
        </references>
      </pivotArea>
    </format>
    <format dxfId="2604">
      <pivotArea field="0" dataOnly="0" labelOnly="1" grandRow="1" outline="0" axis="axisRow" fieldPosition="0">
        <references count="1">
          <reference field="4294967294" count="1" selected="0">
            <x v="30"/>
          </reference>
        </references>
      </pivotArea>
    </format>
    <format dxfId="2603">
      <pivotArea field="0" dataOnly="0" labelOnly="1" grandRow="1" outline="0" axis="axisRow" fieldPosition="0">
        <references count="1">
          <reference field="4294967294" count="1" selected="0">
            <x v="31"/>
          </reference>
        </references>
      </pivotArea>
    </format>
    <format dxfId="2602">
      <pivotArea field="0" dataOnly="0" labelOnly="1" grandRow="1" outline="0" axis="axisRow" fieldPosition="0">
        <references count="1">
          <reference field="4294967294" count="1" selected="0">
            <x v="32"/>
          </reference>
        </references>
      </pivotArea>
    </format>
    <format dxfId="2601">
      <pivotArea field="0" dataOnly="0" labelOnly="1" grandRow="1" outline="0" axis="axisRow" fieldPosition="0">
        <references count="1">
          <reference field="4294967294" count="1" selected="0">
            <x v="33"/>
          </reference>
        </references>
      </pivotArea>
    </format>
    <format dxfId="2600">
      <pivotArea field="0" dataOnly="0" labelOnly="1" grandRow="1" outline="0" axis="axisRow" fieldPosition="0">
        <references count="1">
          <reference field="4294967294" count="1" selected="0">
            <x v="34"/>
          </reference>
        </references>
      </pivotArea>
    </format>
    <format dxfId="2599">
      <pivotArea field="0" dataOnly="0" labelOnly="1" grandRow="1" outline="0" axis="axisRow" fieldPosition="0">
        <references count="1">
          <reference field="4294967294" count="1" selected="0">
            <x v="35"/>
          </reference>
        </references>
      </pivotArea>
    </format>
    <format dxfId="2598">
      <pivotArea field="0" dataOnly="0" labelOnly="1" grandRow="1" outline="0" axis="axisRow" fieldPosition="0">
        <references count="1">
          <reference field="4294967294" count="1" selected="0">
            <x v="0"/>
          </reference>
        </references>
      </pivotArea>
    </format>
    <format dxfId="2597">
      <pivotArea field="0" dataOnly="0" labelOnly="1" grandRow="1" outline="0" axis="axisRow" fieldPosition="0">
        <references count="1">
          <reference field="4294967294" count="1" selected="0">
            <x v="1"/>
          </reference>
        </references>
      </pivotArea>
    </format>
    <format dxfId="2596">
      <pivotArea field="0" dataOnly="0" labelOnly="1" grandRow="1" outline="0" axis="axisRow" fieldPosition="0">
        <references count="1">
          <reference field="4294967294" count="1" selected="0">
            <x v="2"/>
          </reference>
        </references>
      </pivotArea>
    </format>
    <format dxfId="2595">
      <pivotArea field="0" dataOnly="0" labelOnly="1" grandRow="1" outline="0" axis="axisRow" fieldPosition="0">
        <references count="1">
          <reference field="4294967294" count="1" selected="0">
            <x v="3"/>
          </reference>
        </references>
      </pivotArea>
    </format>
    <format dxfId="2594">
      <pivotArea field="0" dataOnly="0" labelOnly="1" grandRow="1" outline="0" axis="axisRow" fieldPosition="0">
        <references count="1">
          <reference field="4294967294" count="1" selected="0">
            <x v="4"/>
          </reference>
        </references>
      </pivotArea>
    </format>
    <format dxfId="2593">
      <pivotArea field="0" dataOnly="0" labelOnly="1" grandRow="1" outline="0" axis="axisRow" fieldPosition="0">
        <references count="1">
          <reference field="4294967294" count="1" selected="0">
            <x v="5"/>
          </reference>
        </references>
      </pivotArea>
    </format>
    <format dxfId="2592">
      <pivotArea field="0" dataOnly="0" labelOnly="1" grandRow="1" outline="0" axis="axisRow" fieldPosition="0">
        <references count="1">
          <reference field="4294967294" count="1" selected="0">
            <x v="6"/>
          </reference>
        </references>
      </pivotArea>
    </format>
    <format dxfId="2591">
      <pivotArea field="0" dataOnly="0" labelOnly="1" grandRow="1" outline="0" axis="axisRow" fieldPosition="0">
        <references count="1">
          <reference field="4294967294" count="1" selected="0">
            <x v="7"/>
          </reference>
        </references>
      </pivotArea>
    </format>
    <format dxfId="2590">
      <pivotArea field="0" dataOnly="0" labelOnly="1" grandRow="1" outline="0" axis="axisRow" fieldPosition="0">
        <references count="1">
          <reference field="4294967294" count="1" selected="0">
            <x v="8"/>
          </reference>
        </references>
      </pivotArea>
    </format>
    <format dxfId="2589">
      <pivotArea field="0" dataOnly="0" labelOnly="1" grandRow="1" outline="0" axis="axisRow" fieldPosition="0">
        <references count="1">
          <reference field="4294967294" count="1" selected="0">
            <x v="9"/>
          </reference>
        </references>
      </pivotArea>
    </format>
    <format dxfId="2588">
      <pivotArea field="0" dataOnly="0" labelOnly="1" grandRow="1" outline="0" axis="axisRow" fieldPosition="0">
        <references count="1">
          <reference field="4294967294" count="1" selected="0">
            <x v="10"/>
          </reference>
        </references>
      </pivotArea>
    </format>
    <format dxfId="2587">
      <pivotArea field="0" dataOnly="0" labelOnly="1" grandRow="1" outline="0" axis="axisRow" fieldPosition="0">
        <references count="1">
          <reference field="4294967294" count="1" selected="0">
            <x v="11"/>
          </reference>
        </references>
      </pivotArea>
    </format>
    <format dxfId="2586">
      <pivotArea field="0" dataOnly="0" labelOnly="1" grandRow="1" outline="0" axis="axisRow" fieldPosition="0">
        <references count="1">
          <reference field="4294967294" count="1" selected="0">
            <x v="12"/>
          </reference>
        </references>
      </pivotArea>
    </format>
    <format dxfId="2585">
      <pivotArea field="0" dataOnly="0" labelOnly="1" grandRow="1" outline="0" axis="axisRow" fieldPosition="0">
        <references count="1">
          <reference field="4294967294" count="1" selected="0">
            <x v="13"/>
          </reference>
        </references>
      </pivotArea>
    </format>
    <format dxfId="2584">
      <pivotArea field="0" dataOnly="0" labelOnly="1" grandRow="1" outline="0" axis="axisRow" fieldPosition="0">
        <references count="1">
          <reference field="4294967294" count="1" selected="0">
            <x v="14"/>
          </reference>
        </references>
      </pivotArea>
    </format>
    <format dxfId="2583">
      <pivotArea field="0" dataOnly="0" labelOnly="1" grandRow="1" outline="0" axis="axisRow" fieldPosition="0">
        <references count="1">
          <reference field="4294967294" count="1" selected="0">
            <x v="15"/>
          </reference>
        </references>
      </pivotArea>
    </format>
    <format dxfId="2582">
      <pivotArea field="0" dataOnly="0" labelOnly="1" grandRow="1" outline="0" axis="axisRow" fieldPosition="0">
        <references count="1">
          <reference field="4294967294" count="1" selected="0">
            <x v="16"/>
          </reference>
        </references>
      </pivotArea>
    </format>
    <format dxfId="2581">
      <pivotArea field="0" dataOnly="0" labelOnly="1" grandRow="1" outline="0" axis="axisRow" fieldPosition="0">
        <references count="1">
          <reference field="4294967294" count="1" selected="0">
            <x v="17"/>
          </reference>
        </references>
      </pivotArea>
    </format>
    <format dxfId="2580">
      <pivotArea field="0" dataOnly="0" labelOnly="1" grandRow="1" outline="0" axis="axisRow" fieldPosition="0">
        <references count="1">
          <reference field="4294967294" count="1" selected="0">
            <x v="18"/>
          </reference>
        </references>
      </pivotArea>
    </format>
    <format dxfId="2579">
      <pivotArea field="0" dataOnly="0" labelOnly="1" grandRow="1" outline="0" axis="axisRow" fieldPosition="0">
        <references count="1">
          <reference field="4294967294" count="1" selected="0">
            <x v="19"/>
          </reference>
        </references>
      </pivotArea>
    </format>
    <format dxfId="2578">
      <pivotArea field="0" dataOnly="0" labelOnly="1" grandRow="1" outline="0" axis="axisRow" fieldPosition="0">
        <references count="1">
          <reference field="4294967294" count="1" selected="0">
            <x v="20"/>
          </reference>
        </references>
      </pivotArea>
    </format>
    <format dxfId="2577">
      <pivotArea field="0" dataOnly="0" labelOnly="1" grandRow="1" outline="0" axis="axisRow" fieldPosition="0">
        <references count="1">
          <reference field="4294967294" count="1" selected="0">
            <x v="21"/>
          </reference>
        </references>
      </pivotArea>
    </format>
    <format dxfId="2576">
      <pivotArea field="0" dataOnly="0" labelOnly="1" grandRow="1" outline="0" axis="axisRow" fieldPosition="0">
        <references count="1">
          <reference field="4294967294" count="1" selected="0">
            <x v="22"/>
          </reference>
        </references>
      </pivotArea>
    </format>
    <format dxfId="2575">
      <pivotArea field="0" dataOnly="0" labelOnly="1" grandRow="1" outline="0" axis="axisRow" fieldPosition="0">
        <references count="1">
          <reference field="4294967294" count="1" selected="0">
            <x v="23"/>
          </reference>
        </references>
      </pivotArea>
    </format>
    <format dxfId="2574">
      <pivotArea field="0" dataOnly="0" labelOnly="1" grandRow="1" outline="0" axis="axisRow" fieldPosition="0">
        <references count="1">
          <reference field="4294967294" count="1" selected="0">
            <x v="24"/>
          </reference>
        </references>
      </pivotArea>
    </format>
    <format dxfId="2573">
      <pivotArea field="0" dataOnly="0" labelOnly="1" grandRow="1" outline="0" axis="axisRow" fieldPosition="0">
        <references count="1">
          <reference field="4294967294" count="1" selected="0">
            <x v="25"/>
          </reference>
        </references>
      </pivotArea>
    </format>
    <format dxfId="2572">
      <pivotArea field="0" dataOnly="0" labelOnly="1" grandRow="1" outline="0" axis="axisRow" fieldPosition="0">
        <references count="1">
          <reference field="4294967294" count="1" selected="0">
            <x v="26"/>
          </reference>
        </references>
      </pivotArea>
    </format>
    <format dxfId="2571">
      <pivotArea field="0" dataOnly="0" labelOnly="1" grandRow="1" outline="0" axis="axisRow" fieldPosition="0">
        <references count="1">
          <reference field="4294967294" count="1" selected="0">
            <x v="27"/>
          </reference>
        </references>
      </pivotArea>
    </format>
    <format dxfId="2570">
      <pivotArea field="0" dataOnly="0" labelOnly="1" grandRow="1" outline="0" axis="axisRow" fieldPosition="0">
        <references count="1">
          <reference field="4294967294" count="1" selected="0">
            <x v="28"/>
          </reference>
        </references>
      </pivotArea>
    </format>
    <format dxfId="2569">
      <pivotArea field="0" dataOnly="0" labelOnly="1" grandRow="1" outline="0" axis="axisRow" fieldPosition="0">
        <references count="1">
          <reference field="4294967294" count="1" selected="0">
            <x v="29"/>
          </reference>
        </references>
      </pivotArea>
    </format>
    <format dxfId="2568">
      <pivotArea field="0" dataOnly="0" labelOnly="1" grandRow="1" outline="0" axis="axisRow" fieldPosition="0">
        <references count="1">
          <reference field="4294967294" count="1" selected="0">
            <x v="30"/>
          </reference>
        </references>
      </pivotArea>
    </format>
    <format dxfId="2567">
      <pivotArea field="0" dataOnly="0" labelOnly="1" grandRow="1" outline="0" axis="axisRow" fieldPosition="0">
        <references count="1">
          <reference field="4294967294" count="1" selected="0">
            <x v="31"/>
          </reference>
        </references>
      </pivotArea>
    </format>
    <format dxfId="2566">
      <pivotArea field="0" dataOnly="0" labelOnly="1" grandRow="1" outline="0" axis="axisRow" fieldPosition="0">
        <references count="1">
          <reference field="4294967294" count="1" selected="0">
            <x v="32"/>
          </reference>
        </references>
      </pivotArea>
    </format>
    <format dxfId="2565">
      <pivotArea field="0" dataOnly="0" labelOnly="1" grandRow="1" outline="0" axis="axisRow" fieldPosition="0">
        <references count="1">
          <reference field="4294967294" count="1" selected="0">
            <x v="33"/>
          </reference>
        </references>
      </pivotArea>
    </format>
    <format dxfId="2564">
      <pivotArea field="0" dataOnly="0" labelOnly="1" grandRow="1" outline="0" axis="axisRow" fieldPosition="0">
        <references count="1">
          <reference field="4294967294" count="1" selected="0">
            <x v="34"/>
          </reference>
        </references>
      </pivotArea>
    </format>
    <format dxfId="2563">
      <pivotArea field="0" dataOnly="0" labelOnly="1" grandRow="1" outline="0" axis="axisRow" fieldPosition="0">
        <references count="1">
          <reference field="4294967294" count="1" selected="0">
            <x v="35"/>
          </reference>
        </references>
      </pivotArea>
    </format>
    <format dxfId="2562">
      <pivotArea field="0" dataOnly="0" labelOnly="1" grandRow="1" outline="0" axis="axisRow" fieldPosition="0">
        <references count="1">
          <reference field="4294967294" count="1" selected="0">
            <x v="0"/>
          </reference>
        </references>
      </pivotArea>
    </format>
    <format dxfId="2561">
      <pivotArea field="0" dataOnly="0" labelOnly="1" grandRow="1" outline="0" axis="axisRow" fieldPosition="0">
        <references count="1">
          <reference field="4294967294" count="1" selected="0">
            <x v="1"/>
          </reference>
        </references>
      </pivotArea>
    </format>
    <format dxfId="2560">
      <pivotArea field="0" dataOnly="0" labelOnly="1" grandRow="1" outline="0" axis="axisRow" fieldPosition="0">
        <references count="1">
          <reference field="4294967294" count="1" selected="0">
            <x v="2"/>
          </reference>
        </references>
      </pivotArea>
    </format>
    <format dxfId="2559">
      <pivotArea field="0" dataOnly="0" labelOnly="1" grandRow="1" outline="0" axis="axisRow" fieldPosition="0">
        <references count="1">
          <reference field="4294967294" count="1" selected="0">
            <x v="3"/>
          </reference>
        </references>
      </pivotArea>
    </format>
    <format dxfId="2558">
      <pivotArea field="0" dataOnly="0" labelOnly="1" grandRow="1" outline="0" axis="axisRow" fieldPosition="0">
        <references count="1">
          <reference field="4294967294" count="1" selected="0">
            <x v="4"/>
          </reference>
        </references>
      </pivotArea>
    </format>
    <format dxfId="2557">
      <pivotArea field="0" dataOnly="0" labelOnly="1" grandRow="1" outline="0" axis="axisRow" fieldPosition="0">
        <references count="1">
          <reference field="4294967294" count="1" selected="0">
            <x v="5"/>
          </reference>
        </references>
      </pivotArea>
    </format>
    <format dxfId="2556">
      <pivotArea field="0" dataOnly="0" labelOnly="1" grandRow="1" outline="0" axis="axisRow" fieldPosition="0">
        <references count="1">
          <reference field="4294967294" count="1" selected="0">
            <x v="6"/>
          </reference>
        </references>
      </pivotArea>
    </format>
    <format dxfId="2555">
      <pivotArea field="0" dataOnly="0" labelOnly="1" grandRow="1" outline="0" axis="axisRow" fieldPosition="0">
        <references count="1">
          <reference field="4294967294" count="1" selected="0">
            <x v="7"/>
          </reference>
        </references>
      </pivotArea>
    </format>
    <format dxfId="2554">
      <pivotArea field="0" dataOnly="0" labelOnly="1" grandRow="1" outline="0" axis="axisRow" fieldPosition="0">
        <references count="1">
          <reference field="4294967294" count="1" selected="0">
            <x v="8"/>
          </reference>
        </references>
      </pivotArea>
    </format>
    <format dxfId="2553">
      <pivotArea field="0" dataOnly="0" labelOnly="1" grandRow="1" outline="0" axis="axisRow" fieldPosition="0">
        <references count="1">
          <reference field="4294967294" count="1" selected="0">
            <x v="9"/>
          </reference>
        </references>
      </pivotArea>
    </format>
    <format dxfId="2552">
      <pivotArea field="0" dataOnly="0" labelOnly="1" grandRow="1" outline="0" axis="axisRow" fieldPosition="0">
        <references count="1">
          <reference field="4294967294" count="1" selected="0">
            <x v="10"/>
          </reference>
        </references>
      </pivotArea>
    </format>
    <format dxfId="2551">
      <pivotArea field="0" dataOnly="0" labelOnly="1" grandRow="1" outline="0" axis="axisRow" fieldPosition="0">
        <references count="1">
          <reference field="4294967294" count="1" selected="0">
            <x v="11"/>
          </reference>
        </references>
      </pivotArea>
    </format>
    <format dxfId="2550">
      <pivotArea field="0" dataOnly="0" labelOnly="1" grandRow="1" outline="0" axis="axisRow" fieldPosition="0">
        <references count="1">
          <reference field="4294967294" count="1" selected="0">
            <x v="12"/>
          </reference>
        </references>
      </pivotArea>
    </format>
    <format dxfId="2549">
      <pivotArea field="0" dataOnly="0" labelOnly="1" grandRow="1" outline="0" axis="axisRow" fieldPosition="0">
        <references count="1">
          <reference field="4294967294" count="1" selected="0">
            <x v="13"/>
          </reference>
        </references>
      </pivotArea>
    </format>
    <format dxfId="2548">
      <pivotArea field="0" dataOnly="0" labelOnly="1" grandRow="1" outline="0" axis="axisRow" fieldPosition="0">
        <references count="1">
          <reference field="4294967294" count="1" selected="0">
            <x v="14"/>
          </reference>
        </references>
      </pivotArea>
    </format>
    <format dxfId="2547">
      <pivotArea field="0" dataOnly="0" labelOnly="1" grandRow="1" outline="0" axis="axisRow" fieldPosition="0">
        <references count="1">
          <reference field="4294967294" count="1" selected="0">
            <x v="15"/>
          </reference>
        </references>
      </pivotArea>
    </format>
    <format dxfId="2546">
      <pivotArea field="0" dataOnly="0" labelOnly="1" grandRow="1" outline="0" axis="axisRow" fieldPosition="0">
        <references count="1">
          <reference field="4294967294" count="1" selected="0">
            <x v="16"/>
          </reference>
        </references>
      </pivotArea>
    </format>
    <format dxfId="2545">
      <pivotArea field="0" dataOnly="0" labelOnly="1" grandRow="1" outline="0" axis="axisRow" fieldPosition="0">
        <references count="1">
          <reference field="4294967294" count="1" selected="0">
            <x v="17"/>
          </reference>
        </references>
      </pivotArea>
    </format>
    <format dxfId="2544">
      <pivotArea field="0" dataOnly="0" labelOnly="1" grandRow="1" outline="0" axis="axisRow" fieldPosition="0">
        <references count="1">
          <reference field="4294967294" count="1" selected="0">
            <x v="18"/>
          </reference>
        </references>
      </pivotArea>
    </format>
    <format dxfId="2543">
      <pivotArea field="0" dataOnly="0" labelOnly="1" grandRow="1" outline="0" axis="axisRow" fieldPosition="0">
        <references count="1">
          <reference field="4294967294" count="1" selected="0">
            <x v="19"/>
          </reference>
        </references>
      </pivotArea>
    </format>
    <format dxfId="2542">
      <pivotArea field="0" dataOnly="0" labelOnly="1" grandRow="1" outline="0" axis="axisRow" fieldPosition="0">
        <references count="1">
          <reference field="4294967294" count="1" selected="0">
            <x v="20"/>
          </reference>
        </references>
      </pivotArea>
    </format>
    <format dxfId="2541">
      <pivotArea field="0" dataOnly="0" labelOnly="1" grandRow="1" outline="0" axis="axisRow" fieldPosition="0">
        <references count="1">
          <reference field="4294967294" count="1" selected="0">
            <x v="21"/>
          </reference>
        </references>
      </pivotArea>
    </format>
    <format dxfId="2540">
      <pivotArea field="0" dataOnly="0" labelOnly="1" grandRow="1" outline="0" axis="axisRow" fieldPosition="0">
        <references count="1">
          <reference field="4294967294" count="1" selected="0">
            <x v="22"/>
          </reference>
        </references>
      </pivotArea>
    </format>
    <format dxfId="2539">
      <pivotArea field="0" dataOnly="0" labelOnly="1" grandRow="1" outline="0" axis="axisRow" fieldPosition="0">
        <references count="1">
          <reference field="4294967294" count="1" selected="0">
            <x v="23"/>
          </reference>
        </references>
      </pivotArea>
    </format>
    <format dxfId="2538">
      <pivotArea field="0" dataOnly="0" labelOnly="1" grandRow="1" outline="0" axis="axisRow" fieldPosition="0">
        <references count="1">
          <reference field="4294967294" count="1" selected="0">
            <x v="24"/>
          </reference>
        </references>
      </pivotArea>
    </format>
    <format dxfId="2537">
      <pivotArea field="0" dataOnly="0" labelOnly="1" grandRow="1" outline="0" axis="axisRow" fieldPosition="0">
        <references count="1">
          <reference field="4294967294" count="1" selected="0">
            <x v="25"/>
          </reference>
        </references>
      </pivotArea>
    </format>
    <format dxfId="2536">
      <pivotArea field="0" dataOnly="0" labelOnly="1" grandRow="1" outline="0" axis="axisRow" fieldPosition="0">
        <references count="1">
          <reference field="4294967294" count="1" selected="0">
            <x v="26"/>
          </reference>
        </references>
      </pivotArea>
    </format>
    <format dxfId="2535">
      <pivotArea field="0" dataOnly="0" labelOnly="1" grandRow="1" outline="0" axis="axisRow" fieldPosition="0">
        <references count="1">
          <reference field="4294967294" count="1" selected="0">
            <x v="27"/>
          </reference>
        </references>
      </pivotArea>
    </format>
    <format dxfId="2534">
      <pivotArea field="0" dataOnly="0" labelOnly="1" grandRow="1" outline="0" axis="axisRow" fieldPosition="0">
        <references count="1">
          <reference field="4294967294" count="1" selected="0">
            <x v="28"/>
          </reference>
        </references>
      </pivotArea>
    </format>
    <format dxfId="2533">
      <pivotArea field="0" dataOnly="0" labelOnly="1" grandRow="1" outline="0" axis="axisRow" fieldPosition="0">
        <references count="1">
          <reference field="4294967294" count="1" selected="0">
            <x v="29"/>
          </reference>
        </references>
      </pivotArea>
    </format>
    <format dxfId="2532">
      <pivotArea field="0" dataOnly="0" labelOnly="1" grandRow="1" outline="0" axis="axisRow" fieldPosition="0">
        <references count="1">
          <reference field="4294967294" count="1" selected="0">
            <x v="30"/>
          </reference>
        </references>
      </pivotArea>
    </format>
    <format dxfId="2531">
      <pivotArea field="0" dataOnly="0" labelOnly="1" grandRow="1" outline="0" axis="axisRow" fieldPosition="0">
        <references count="1">
          <reference field="4294967294" count="1" selected="0">
            <x v="31"/>
          </reference>
        </references>
      </pivotArea>
    </format>
    <format dxfId="2530">
      <pivotArea field="0" dataOnly="0" labelOnly="1" grandRow="1" outline="0" axis="axisRow" fieldPosition="0">
        <references count="1">
          <reference field="4294967294" count="1" selected="0">
            <x v="32"/>
          </reference>
        </references>
      </pivotArea>
    </format>
    <format dxfId="2529">
      <pivotArea field="0" dataOnly="0" labelOnly="1" grandRow="1" outline="0" axis="axisRow" fieldPosition="0">
        <references count="1">
          <reference field="4294967294" count="1" selected="0">
            <x v="33"/>
          </reference>
        </references>
      </pivotArea>
    </format>
    <format dxfId="2528">
      <pivotArea field="0" dataOnly="0" labelOnly="1" grandRow="1" outline="0" axis="axisRow" fieldPosition="0">
        <references count="1">
          <reference field="4294967294" count="1" selected="0">
            <x v="34"/>
          </reference>
        </references>
      </pivotArea>
    </format>
    <format dxfId="2527">
      <pivotArea field="0" dataOnly="0" labelOnly="1" grandRow="1" outline="0" axis="axisRow" fieldPosition="0">
        <references count="1">
          <reference field="4294967294" count="1" selected="0">
            <x v="35"/>
          </reference>
        </references>
      </pivotArea>
    </format>
    <format dxfId="2526">
      <pivotArea field="0" dataOnly="0" labelOnly="1" grandRow="1" outline="0" axis="axisRow" fieldPosition="0">
        <references count="1">
          <reference field="4294967294" count="1" selected="0">
            <x v="0"/>
          </reference>
        </references>
      </pivotArea>
    </format>
    <format dxfId="2525">
      <pivotArea field="0" dataOnly="0" labelOnly="1" grandRow="1" outline="0" axis="axisRow" fieldPosition="0">
        <references count="1">
          <reference field="4294967294" count="1" selected="0">
            <x v="1"/>
          </reference>
        </references>
      </pivotArea>
    </format>
    <format dxfId="2524">
      <pivotArea field="0" dataOnly="0" labelOnly="1" grandRow="1" outline="0" axis="axisRow" fieldPosition="0">
        <references count="1">
          <reference field="4294967294" count="1" selected="0">
            <x v="2"/>
          </reference>
        </references>
      </pivotArea>
    </format>
    <format dxfId="2523">
      <pivotArea field="0" dataOnly="0" labelOnly="1" grandRow="1" outline="0" axis="axisRow" fieldPosition="0">
        <references count="1">
          <reference field="4294967294" count="1" selected="0">
            <x v="3"/>
          </reference>
        </references>
      </pivotArea>
    </format>
    <format dxfId="2522">
      <pivotArea field="0" dataOnly="0" labelOnly="1" grandRow="1" outline="0" axis="axisRow" fieldPosition="0">
        <references count="1">
          <reference field="4294967294" count="1" selected="0">
            <x v="4"/>
          </reference>
        </references>
      </pivotArea>
    </format>
    <format dxfId="2521">
      <pivotArea field="0" dataOnly="0" labelOnly="1" grandRow="1" outline="0" axis="axisRow" fieldPosition="0">
        <references count="1">
          <reference field="4294967294" count="1" selected="0">
            <x v="5"/>
          </reference>
        </references>
      </pivotArea>
    </format>
    <format dxfId="2520">
      <pivotArea field="0" dataOnly="0" labelOnly="1" grandRow="1" outline="0" axis="axisRow" fieldPosition="0">
        <references count="1">
          <reference field="4294967294" count="1" selected="0">
            <x v="6"/>
          </reference>
        </references>
      </pivotArea>
    </format>
    <format dxfId="2519">
      <pivotArea field="0" dataOnly="0" labelOnly="1" grandRow="1" outline="0" axis="axisRow" fieldPosition="0">
        <references count="1">
          <reference field="4294967294" count="1" selected="0">
            <x v="7"/>
          </reference>
        </references>
      </pivotArea>
    </format>
    <format dxfId="2518">
      <pivotArea field="0" dataOnly="0" labelOnly="1" grandRow="1" outline="0" axis="axisRow" fieldPosition="0">
        <references count="1">
          <reference field="4294967294" count="1" selected="0">
            <x v="8"/>
          </reference>
        </references>
      </pivotArea>
    </format>
    <format dxfId="2517">
      <pivotArea field="0" dataOnly="0" labelOnly="1" grandRow="1" outline="0" axis="axisRow" fieldPosition="0">
        <references count="1">
          <reference field="4294967294" count="1" selected="0">
            <x v="9"/>
          </reference>
        </references>
      </pivotArea>
    </format>
    <format dxfId="2516">
      <pivotArea field="0" dataOnly="0" labelOnly="1" grandRow="1" outline="0" axis="axisRow" fieldPosition="0">
        <references count="1">
          <reference field="4294967294" count="1" selected="0">
            <x v="10"/>
          </reference>
        </references>
      </pivotArea>
    </format>
    <format dxfId="2515">
      <pivotArea field="0" dataOnly="0" labelOnly="1" grandRow="1" outline="0" axis="axisRow" fieldPosition="0">
        <references count="1">
          <reference field="4294967294" count="1" selected="0">
            <x v="11"/>
          </reference>
        </references>
      </pivotArea>
    </format>
    <format dxfId="2514">
      <pivotArea field="0" dataOnly="0" labelOnly="1" grandRow="1" outline="0" axis="axisRow" fieldPosition="0">
        <references count="1">
          <reference field="4294967294" count="1" selected="0">
            <x v="12"/>
          </reference>
        </references>
      </pivotArea>
    </format>
    <format dxfId="2513">
      <pivotArea field="0" dataOnly="0" labelOnly="1" grandRow="1" outline="0" axis="axisRow" fieldPosition="0">
        <references count="1">
          <reference field="4294967294" count="1" selected="0">
            <x v="13"/>
          </reference>
        </references>
      </pivotArea>
    </format>
    <format dxfId="2512">
      <pivotArea field="0" dataOnly="0" labelOnly="1" grandRow="1" outline="0" axis="axisRow" fieldPosition="0">
        <references count="1">
          <reference field="4294967294" count="1" selected="0">
            <x v="14"/>
          </reference>
        </references>
      </pivotArea>
    </format>
    <format dxfId="2511">
      <pivotArea field="0" dataOnly="0" labelOnly="1" grandRow="1" outline="0" axis="axisRow" fieldPosition="0">
        <references count="1">
          <reference field="4294967294" count="1" selected="0">
            <x v="15"/>
          </reference>
        </references>
      </pivotArea>
    </format>
    <format dxfId="2510">
      <pivotArea field="0" dataOnly="0" labelOnly="1" grandRow="1" outline="0" axis="axisRow" fieldPosition="0">
        <references count="1">
          <reference field="4294967294" count="1" selected="0">
            <x v="16"/>
          </reference>
        </references>
      </pivotArea>
    </format>
    <format dxfId="2509">
      <pivotArea field="0" dataOnly="0" labelOnly="1" grandRow="1" outline="0" axis="axisRow" fieldPosition="0">
        <references count="1">
          <reference field="4294967294" count="1" selected="0">
            <x v="17"/>
          </reference>
        </references>
      </pivotArea>
    </format>
    <format dxfId="2508">
      <pivotArea field="0" dataOnly="0" labelOnly="1" grandRow="1" outline="0" axis="axisRow" fieldPosition="0">
        <references count="1">
          <reference field="4294967294" count="1" selected="0">
            <x v="18"/>
          </reference>
        </references>
      </pivotArea>
    </format>
    <format dxfId="2507">
      <pivotArea field="0" dataOnly="0" labelOnly="1" grandRow="1" outline="0" axis="axisRow" fieldPosition="0">
        <references count="1">
          <reference field="4294967294" count="1" selected="0">
            <x v="19"/>
          </reference>
        </references>
      </pivotArea>
    </format>
    <format dxfId="2506">
      <pivotArea field="0" dataOnly="0" labelOnly="1" grandRow="1" outline="0" axis="axisRow" fieldPosition="0">
        <references count="1">
          <reference field="4294967294" count="1" selected="0">
            <x v="20"/>
          </reference>
        </references>
      </pivotArea>
    </format>
    <format dxfId="2505">
      <pivotArea field="0" dataOnly="0" labelOnly="1" grandRow="1" outline="0" axis="axisRow" fieldPosition="0">
        <references count="1">
          <reference field="4294967294" count="1" selected="0">
            <x v="21"/>
          </reference>
        </references>
      </pivotArea>
    </format>
    <format dxfId="2504">
      <pivotArea field="0" dataOnly="0" labelOnly="1" grandRow="1" outline="0" axis="axisRow" fieldPosition="0">
        <references count="1">
          <reference field="4294967294" count="1" selected="0">
            <x v="22"/>
          </reference>
        </references>
      </pivotArea>
    </format>
    <format dxfId="2503">
      <pivotArea field="0" dataOnly="0" labelOnly="1" grandRow="1" outline="0" axis="axisRow" fieldPosition="0">
        <references count="1">
          <reference field="4294967294" count="1" selected="0">
            <x v="23"/>
          </reference>
        </references>
      </pivotArea>
    </format>
    <format dxfId="2502">
      <pivotArea field="0" dataOnly="0" labelOnly="1" grandRow="1" outline="0" axis="axisRow" fieldPosition="0">
        <references count="1">
          <reference field="4294967294" count="1" selected="0">
            <x v="24"/>
          </reference>
        </references>
      </pivotArea>
    </format>
    <format dxfId="2501">
      <pivotArea field="0" dataOnly="0" labelOnly="1" grandRow="1" outline="0" axis="axisRow" fieldPosition="0">
        <references count="1">
          <reference field="4294967294" count="1" selected="0">
            <x v="25"/>
          </reference>
        </references>
      </pivotArea>
    </format>
    <format dxfId="2500">
      <pivotArea field="0" dataOnly="0" labelOnly="1" grandRow="1" outline="0" axis="axisRow" fieldPosition="0">
        <references count="1">
          <reference field="4294967294" count="1" selected="0">
            <x v="26"/>
          </reference>
        </references>
      </pivotArea>
    </format>
    <format dxfId="2499">
      <pivotArea field="0" dataOnly="0" labelOnly="1" grandRow="1" outline="0" axis="axisRow" fieldPosition="0">
        <references count="1">
          <reference field="4294967294" count="1" selected="0">
            <x v="27"/>
          </reference>
        </references>
      </pivotArea>
    </format>
    <format dxfId="2498">
      <pivotArea field="0" dataOnly="0" labelOnly="1" grandRow="1" outline="0" axis="axisRow" fieldPosition="0">
        <references count="1">
          <reference field="4294967294" count="1" selected="0">
            <x v="28"/>
          </reference>
        </references>
      </pivotArea>
    </format>
    <format dxfId="2497">
      <pivotArea field="0" dataOnly="0" labelOnly="1" grandRow="1" outline="0" axis="axisRow" fieldPosition="0">
        <references count="1">
          <reference field="4294967294" count="1" selected="0">
            <x v="29"/>
          </reference>
        </references>
      </pivotArea>
    </format>
    <format dxfId="2496">
      <pivotArea field="0" dataOnly="0" labelOnly="1" grandRow="1" outline="0" axis="axisRow" fieldPosition="0">
        <references count="1">
          <reference field="4294967294" count="1" selected="0">
            <x v="30"/>
          </reference>
        </references>
      </pivotArea>
    </format>
    <format dxfId="2495">
      <pivotArea field="0" dataOnly="0" labelOnly="1" grandRow="1" outline="0" axis="axisRow" fieldPosition="0">
        <references count="1">
          <reference field="4294967294" count="1" selected="0">
            <x v="31"/>
          </reference>
        </references>
      </pivotArea>
    </format>
    <format dxfId="2494">
      <pivotArea field="0" dataOnly="0" labelOnly="1" grandRow="1" outline="0" axis="axisRow" fieldPosition="0">
        <references count="1">
          <reference field="4294967294" count="1" selected="0">
            <x v="32"/>
          </reference>
        </references>
      </pivotArea>
    </format>
    <format dxfId="2493">
      <pivotArea field="0" dataOnly="0" labelOnly="1" grandRow="1" outline="0" axis="axisRow" fieldPosition="0">
        <references count="1">
          <reference field="4294967294" count="1" selected="0">
            <x v="33"/>
          </reference>
        </references>
      </pivotArea>
    </format>
    <format dxfId="2492">
      <pivotArea field="0" dataOnly="0" labelOnly="1" grandRow="1" outline="0" axis="axisRow" fieldPosition="0">
        <references count="1">
          <reference field="4294967294" count="1" selected="0">
            <x v="34"/>
          </reference>
        </references>
      </pivotArea>
    </format>
    <format dxfId="2491">
      <pivotArea field="0" dataOnly="0" labelOnly="1" grandRow="1" outline="0" axis="axisRow" fieldPosition="0">
        <references count="1">
          <reference field="4294967294" count="1" selected="0">
            <x v="35"/>
          </reference>
        </references>
      </pivotArea>
    </format>
    <format dxfId="2490">
      <pivotArea field="0" dataOnly="0" labelOnly="1" grandRow="1" outline="0" axis="axisRow" fieldPosition="0">
        <references count="1">
          <reference field="4294967294" count="1" selected="0">
            <x v="0"/>
          </reference>
        </references>
      </pivotArea>
    </format>
    <format dxfId="2489">
      <pivotArea field="0" dataOnly="0" labelOnly="1" grandRow="1" outline="0" axis="axisRow" fieldPosition="0">
        <references count="1">
          <reference field="4294967294" count="1" selected="0">
            <x v="1"/>
          </reference>
        </references>
      </pivotArea>
    </format>
    <format dxfId="2488">
      <pivotArea field="0" dataOnly="0" labelOnly="1" grandRow="1" outline="0" axis="axisRow" fieldPosition="0">
        <references count="1">
          <reference field="4294967294" count="1" selected="0">
            <x v="2"/>
          </reference>
        </references>
      </pivotArea>
    </format>
    <format dxfId="2487">
      <pivotArea field="0" dataOnly="0" labelOnly="1" grandRow="1" outline="0" axis="axisRow" fieldPosition="0">
        <references count="1">
          <reference field="4294967294" count="1" selected="0">
            <x v="3"/>
          </reference>
        </references>
      </pivotArea>
    </format>
    <format dxfId="2486">
      <pivotArea field="0" dataOnly="0" labelOnly="1" grandRow="1" outline="0" axis="axisRow" fieldPosition="0">
        <references count="1">
          <reference field="4294967294" count="1" selected="0">
            <x v="4"/>
          </reference>
        </references>
      </pivotArea>
    </format>
    <format dxfId="2485">
      <pivotArea field="0" dataOnly="0" labelOnly="1" grandRow="1" outline="0" axis="axisRow" fieldPosition="0">
        <references count="1">
          <reference field="4294967294" count="1" selected="0">
            <x v="5"/>
          </reference>
        </references>
      </pivotArea>
    </format>
    <format dxfId="2484">
      <pivotArea field="0" dataOnly="0" labelOnly="1" grandRow="1" outline="0" axis="axisRow" fieldPosition="0">
        <references count="1">
          <reference field="4294967294" count="1" selected="0">
            <x v="6"/>
          </reference>
        </references>
      </pivotArea>
    </format>
    <format dxfId="2483">
      <pivotArea field="0" dataOnly="0" labelOnly="1" grandRow="1" outline="0" axis="axisRow" fieldPosition="0">
        <references count="1">
          <reference field="4294967294" count="1" selected="0">
            <x v="7"/>
          </reference>
        </references>
      </pivotArea>
    </format>
    <format dxfId="2482">
      <pivotArea field="0" dataOnly="0" labelOnly="1" grandRow="1" outline="0" axis="axisRow" fieldPosition="0">
        <references count="1">
          <reference field="4294967294" count="1" selected="0">
            <x v="8"/>
          </reference>
        </references>
      </pivotArea>
    </format>
    <format dxfId="2481">
      <pivotArea field="0" dataOnly="0" labelOnly="1" grandRow="1" outline="0" axis="axisRow" fieldPosition="0">
        <references count="1">
          <reference field="4294967294" count="1" selected="0">
            <x v="9"/>
          </reference>
        </references>
      </pivotArea>
    </format>
    <format dxfId="2480">
      <pivotArea field="0" dataOnly="0" labelOnly="1" grandRow="1" outline="0" axis="axisRow" fieldPosition="0">
        <references count="1">
          <reference field="4294967294" count="1" selected="0">
            <x v="10"/>
          </reference>
        </references>
      </pivotArea>
    </format>
    <format dxfId="2479">
      <pivotArea field="0" dataOnly="0" labelOnly="1" grandRow="1" outline="0" axis="axisRow" fieldPosition="0">
        <references count="1">
          <reference field="4294967294" count="1" selected="0">
            <x v="11"/>
          </reference>
        </references>
      </pivotArea>
    </format>
    <format dxfId="2478">
      <pivotArea field="0" dataOnly="0" labelOnly="1" grandRow="1" outline="0" axis="axisRow" fieldPosition="0">
        <references count="1">
          <reference field="4294967294" count="1" selected="0">
            <x v="12"/>
          </reference>
        </references>
      </pivotArea>
    </format>
    <format dxfId="2477">
      <pivotArea field="0" dataOnly="0" labelOnly="1" grandRow="1" outline="0" axis="axisRow" fieldPosition="0">
        <references count="1">
          <reference field="4294967294" count="1" selected="0">
            <x v="13"/>
          </reference>
        </references>
      </pivotArea>
    </format>
    <format dxfId="2476">
      <pivotArea field="0" dataOnly="0" labelOnly="1" grandRow="1" outline="0" axis="axisRow" fieldPosition="0">
        <references count="1">
          <reference field="4294967294" count="1" selected="0">
            <x v="14"/>
          </reference>
        </references>
      </pivotArea>
    </format>
    <format dxfId="2475">
      <pivotArea field="0" dataOnly="0" labelOnly="1" grandRow="1" outline="0" axis="axisRow" fieldPosition="0">
        <references count="1">
          <reference field="4294967294" count="1" selected="0">
            <x v="15"/>
          </reference>
        </references>
      </pivotArea>
    </format>
    <format dxfId="2474">
      <pivotArea field="0" dataOnly="0" labelOnly="1" grandRow="1" outline="0" axis="axisRow" fieldPosition="0">
        <references count="1">
          <reference field="4294967294" count="1" selected="0">
            <x v="16"/>
          </reference>
        </references>
      </pivotArea>
    </format>
    <format dxfId="2473">
      <pivotArea field="0" dataOnly="0" labelOnly="1" grandRow="1" outline="0" axis="axisRow" fieldPosition="0">
        <references count="1">
          <reference field="4294967294" count="1" selected="0">
            <x v="17"/>
          </reference>
        </references>
      </pivotArea>
    </format>
    <format dxfId="2472">
      <pivotArea field="0" dataOnly="0" labelOnly="1" grandRow="1" outline="0" axis="axisRow" fieldPosition="0">
        <references count="1">
          <reference field="4294967294" count="1" selected="0">
            <x v="18"/>
          </reference>
        </references>
      </pivotArea>
    </format>
    <format dxfId="2471">
      <pivotArea field="0" dataOnly="0" labelOnly="1" grandRow="1" outline="0" axis="axisRow" fieldPosition="0">
        <references count="1">
          <reference field="4294967294" count="1" selected="0">
            <x v="19"/>
          </reference>
        </references>
      </pivotArea>
    </format>
    <format dxfId="2470">
      <pivotArea field="0" dataOnly="0" labelOnly="1" grandRow="1" outline="0" axis="axisRow" fieldPosition="0">
        <references count="1">
          <reference field="4294967294" count="1" selected="0">
            <x v="20"/>
          </reference>
        </references>
      </pivotArea>
    </format>
    <format dxfId="2469">
      <pivotArea field="0" dataOnly="0" labelOnly="1" grandRow="1" outline="0" axis="axisRow" fieldPosition="0">
        <references count="1">
          <reference field="4294967294" count="1" selected="0">
            <x v="21"/>
          </reference>
        </references>
      </pivotArea>
    </format>
    <format dxfId="2468">
      <pivotArea field="0" dataOnly="0" labelOnly="1" grandRow="1" outline="0" axis="axisRow" fieldPosition="0">
        <references count="1">
          <reference field="4294967294" count="1" selected="0">
            <x v="22"/>
          </reference>
        </references>
      </pivotArea>
    </format>
    <format dxfId="2467">
      <pivotArea field="0" dataOnly="0" labelOnly="1" grandRow="1" outline="0" axis="axisRow" fieldPosition="0">
        <references count="1">
          <reference field="4294967294" count="1" selected="0">
            <x v="23"/>
          </reference>
        </references>
      </pivotArea>
    </format>
    <format dxfId="2466">
      <pivotArea field="0" dataOnly="0" labelOnly="1" grandRow="1" outline="0" axis="axisRow" fieldPosition="0">
        <references count="1">
          <reference field="4294967294" count="1" selected="0">
            <x v="24"/>
          </reference>
        </references>
      </pivotArea>
    </format>
    <format dxfId="2465">
      <pivotArea field="0" dataOnly="0" labelOnly="1" grandRow="1" outline="0" axis="axisRow" fieldPosition="0">
        <references count="1">
          <reference field="4294967294" count="1" selected="0">
            <x v="25"/>
          </reference>
        </references>
      </pivotArea>
    </format>
    <format dxfId="2464">
      <pivotArea field="0" dataOnly="0" labelOnly="1" grandRow="1" outline="0" axis="axisRow" fieldPosition="0">
        <references count="1">
          <reference field="4294967294" count="1" selected="0">
            <x v="26"/>
          </reference>
        </references>
      </pivotArea>
    </format>
    <format dxfId="2463">
      <pivotArea field="0" dataOnly="0" labelOnly="1" grandRow="1" outline="0" axis="axisRow" fieldPosition="0">
        <references count="1">
          <reference field="4294967294" count="1" selected="0">
            <x v="27"/>
          </reference>
        </references>
      </pivotArea>
    </format>
    <format dxfId="2462">
      <pivotArea field="0" dataOnly="0" labelOnly="1" grandRow="1" outline="0" axis="axisRow" fieldPosition="0">
        <references count="1">
          <reference field="4294967294" count="1" selected="0">
            <x v="28"/>
          </reference>
        </references>
      </pivotArea>
    </format>
    <format dxfId="2461">
      <pivotArea field="0" dataOnly="0" labelOnly="1" grandRow="1" outline="0" axis="axisRow" fieldPosition="0">
        <references count="1">
          <reference field="4294967294" count="1" selected="0">
            <x v="29"/>
          </reference>
        </references>
      </pivotArea>
    </format>
    <format dxfId="2460">
      <pivotArea field="0" dataOnly="0" labelOnly="1" grandRow="1" outline="0" axis="axisRow" fieldPosition="0">
        <references count="1">
          <reference field="4294967294" count="1" selected="0">
            <x v="30"/>
          </reference>
        </references>
      </pivotArea>
    </format>
    <format dxfId="2459">
      <pivotArea field="0" dataOnly="0" labelOnly="1" grandRow="1" outline="0" axis="axisRow" fieldPosition="0">
        <references count="1">
          <reference field="4294967294" count="1" selected="0">
            <x v="31"/>
          </reference>
        </references>
      </pivotArea>
    </format>
    <format dxfId="2458">
      <pivotArea field="0" dataOnly="0" labelOnly="1" grandRow="1" outline="0" axis="axisRow" fieldPosition="0">
        <references count="1">
          <reference field="4294967294" count="1" selected="0">
            <x v="32"/>
          </reference>
        </references>
      </pivotArea>
    </format>
    <format dxfId="2457">
      <pivotArea field="0" dataOnly="0" labelOnly="1" grandRow="1" outline="0" axis="axisRow" fieldPosition="0">
        <references count="1">
          <reference field="4294967294" count="1" selected="0">
            <x v="33"/>
          </reference>
        </references>
      </pivotArea>
    </format>
    <format dxfId="2456">
      <pivotArea field="0" dataOnly="0" labelOnly="1" grandRow="1" outline="0" axis="axisRow" fieldPosition="0">
        <references count="1">
          <reference field="4294967294" count="1" selected="0">
            <x v="34"/>
          </reference>
        </references>
      </pivotArea>
    </format>
    <format dxfId="2455">
      <pivotArea field="0" dataOnly="0" labelOnly="1" grandRow="1" outline="0" axis="axisRow" fieldPosition="0">
        <references count="1">
          <reference field="4294967294" count="1" selected="0">
            <x v="35"/>
          </reference>
        </references>
      </pivotArea>
    </format>
    <format dxfId="2454">
      <pivotArea field="0" dataOnly="0" labelOnly="1" grandRow="1" outline="0" axis="axisRow" fieldPosition="0">
        <references count="1">
          <reference field="4294967294" count="1" selected="0">
            <x v="0"/>
          </reference>
        </references>
      </pivotArea>
    </format>
    <format dxfId="2453">
      <pivotArea field="0" dataOnly="0" labelOnly="1" grandRow="1" outline="0" axis="axisRow" fieldPosition="0">
        <references count="1">
          <reference field="4294967294" count="1" selected="0">
            <x v="1"/>
          </reference>
        </references>
      </pivotArea>
    </format>
    <format dxfId="2452">
      <pivotArea field="0" dataOnly="0" labelOnly="1" grandRow="1" outline="0" axis="axisRow" fieldPosition="0">
        <references count="1">
          <reference field="4294967294" count="1" selected="0">
            <x v="2"/>
          </reference>
        </references>
      </pivotArea>
    </format>
    <format dxfId="2451">
      <pivotArea field="0" dataOnly="0" labelOnly="1" grandRow="1" outline="0" axis="axisRow" fieldPosition="0">
        <references count="1">
          <reference field="4294967294" count="1" selected="0">
            <x v="3"/>
          </reference>
        </references>
      </pivotArea>
    </format>
    <format dxfId="2450">
      <pivotArea field="0" dataOnly="0" labelOnly="1" grandRow="1" outline="0" axis="axisRow" fieldPosition="0">
        <references count="1">
          <reference field="4294967294" count="1" selected="0">
            <x v="4"/>
          </reference>
        </references>
      </pivotArea>
    </format>
    <format dxfId="2449">
      <pivotArea field="0" dataOnly="0" labelOnly="1" grandRow="1" outline="0" axis="axisRow" fieldPosition="0">
        <references count="1">
          <reference field="4294967294" count="1" selected="0">
            <x v="5"/>
          </reference>
        </references>
      </pivotArea>
    </format>
    <format dxfId="2448">
      <pivotArea field="0" dataOnly="0" labelOnly="1" grandRow="1" outline="0" axis="axisRow" fieldPosition="0">
        <references count="1">
          <reference field="4294967294" count="1" selected="0">
            <x v="6"/>
          </reference>
        </references>
      </pivotArea>
    </format>
    <format dxfId="2447">
      <pivotArea field="0" dataOnly="0" labelOnly="1" grandRow="1" outline="0" axis="axisRow" fieldPosition="0">
        <references count="1">
          <reference field="4294967294" count="1" selected="0">
            <x v="7"/>
          </reference>
        </references>
      </pivotArea>
    </format>
    <format dxfId="2446">
      <pivotArea field="0" dataOnly="0" labelOnly="1" grandRow="1" outline="0" axis="axisRow" fieldPosition="0">
        <references count="1">
          <reference field="4294967294" count="1" selected="0">
            <x v="8"/>
          </reference>
        </references>
      </pivotArea>
    </format>
    <format dxfId="2445">
      <pivotArea field="0" dataOnly="0" labelOnly="1" grandRow="1" outline="0" axis="axisRow" fieldPosition="0">
        <references count="1">
          <reference field="4294967294" count="1" selected="0">
            <x v="9"/>
          </reference>
        </references>
      </pivotArea>
    </format>
    <format dxfId="2444">
      <pivotArea field="0" dataOnly="0" labelOnly="1" grandRow="1" outline="0" axis="axisRow" fieldPosition="0">
        <references count="1">
          <reference field="4294967294" count="1" selected="0">
            <x v="10"/>
          </reference>
        </references>
      </pivotArea>
    </format>
    <format dxfId="2443">
      <pivotArea field="0" dataOnly="0" labelOnly="1" grandRow="1" outline="0" axis="axisRow" fieldPosition="0">
        <references count="1">
          <reference field="4294967294" count="1" selected="0">
            <x v="11"/>
          </reference>
        </references>
      </pivotArea>
    </format>
    <format dxfId="2442">
      <pivotArea field="0" dataOnly="0" labelOnly="1" grandRow="1" outline="0" axis="axisRow" fieldPosition="0">
        <references count="1">
          <reference field="4294967294" count="1" selected="0">
            <x v="12"/>
          </reference>
        </references>
      </pivotArea>
    </format>
    <format dxfId="2441">
      <pivotArea field="0" dataOnly="0" labelOnly="1" grandRow="1" outline="0" axis="axisRow" fieldPosition="0">
        <references count="1">
          <reference field="4294967294" count="1" selected="0">
            <x v="13"/>
          </reference>
        </references>
      </pivotArea>
    </format>
    <format dxfId="2440">
      <pivotArea field="0" dataOnly="0" labelOnly="1" grandRow="1" outline="0" axis="axisRow" fieldPosition="0">
        <references count="1">
          <reference field="4294967294" count="1" selected="0">
            <x v="14"/>
          </reference>
        </references>
      </pivotArea>
    </format>
    <format dxfId="2439">
      <pivotArea field="0" dataOnly="0" labelOnly="1" grandRow="1" outline="0" axis="axisRow" fieldPosition="0">
        <references count="1">
          <reference field="4294967294" count="1" selected="0">
            <x v="15"/>
          </reference>
        </references>
      </pivotArea>
    </format>
    <format dxfId="2438">
      <pivotArea field="0" dataOnly="0" labelOnly="1" grandRow="1" outline="0" axis="axisRow" fieldPosition="0">
        <references count="1">
          <reference field="4294967294" count="1" selected="0">
            <x v="16"/>
          </reference>
        </references>
      </pivotArea>
    </format>
    <format dxfId="2437">
      <pivotArea field="0" dataOnly="0" labelOnly="1" grandRow="1" outline="0" axis="axisRow" fieldPosition="0">
        <references count="1">
          <reference field="4294967294" count="1" selected="0">
            <x v="17"/>
          </reference>
        </references>
      </pivotArea>
    </format>
    <format dxfId="2436">
      <pivotArea field="0" dataOnly="0" labelOnly="1" grandRow="1" outline="0" axis="axisRow" fieldPosition="0">
        <references count="1">
          <reference field="4294967294" count="1" selected="0">
            <x v="18"/>
          </reference>
        </references>
      </pivotArea>
    </format>
    <format dxfId="2435">
      <pivotArea field="0" dataOnly="0" labelOnly="1" grandRow="1" outline="0" axis="axisRow" fieldPosition="0">
        <references count="1">
          <reference field="4294967294" count="1" selected="0">
            <x v="19"/>
          </reference>
        </references>
      </pivotArea>
    </format>
    <format dxfId="2434">
      <pivotArea field="0" dataOnly="0" labelOnly="1" grandRow="1" outline="0" axis="axisRow" fieldPosition="0">
        <references count="1">
          <reference field="4294967294" count="1" selected="0">
            <x v="20"/>
          </reference>
        </references>
      </pivotArea>
    </format>
    <format dxfId="2433">
      <pivotArea field="0" dataOnly="0" labelOnly="1" grandRow="1" outline="0" axis="axisRow" fieldPosition="0">
        <references count="1">
          <reference field="4294967294" count="1" selected="0">
            <x v="21"/>
          </reference>
        </references>
      </pivotArea>
    </format>
    <format dxfId="2432">
      <pivotArea field="0" dataOnly="0" labelOnly="1" grandRow="1" outline="0" axis="axisRow" fieldPosition="0">
        <references count="1">
          <reference field="4294967294" count="1" selected="0">
            <x v="22"/>
          </reference>
        </references>
      </pivotArea>
    </format>
    <format dxfId="2431">
      <pivotArea field="0" dataOnly="0" labelOnly="1" grandRow="1" outline="0" axis="axisRow" fieldPosition="0">
        <references count="1">
          <reference field="4294967294" count="1" selected="0">
            <x v="23"/>
          </reference>
        </references>
      </pivotArea>
    </format>
    <format dxfId="2430">
      <pivotArea field="0" dataOnly="0" labelOnly="1" grandRow="1" outline="0" axis="axisRow" fieldPosition="0">
        <references count="1">
          <reference field="4294967294" count="1" selected="0">
            <x v="24"/>
          </reference>
        </references>
      </pivotArea>
    </format>
    <format dxfId="2429">
      <pivotArea field="0" dataOnly="0" labelOnly="1" grandRow="1" outline="0" axis="axisRow" fieldPosition="0">
        <references count="1">
          <reference field="4294967294" count="1" selected="0">
            <x v="25"/>
          </reference>
        </references>
      </pivotArea>
    </format>
    <format dxfId="2428">
      <pivotArea field="0" dataOnly="0" labelOnly="1" grandRow="1" outline="0" axis="axisRow" fieldPosition="0">
        <references count="1">
          <reference field="4294967294" count="1" selected="0">
            <x v="26"/>
          </reference>
        </references>
      </pivotArea>
    </format>
    <format dxfId="2427">
      <pivotArea field="0" dataOnly="0" labelOnly="1" grandRow="1" outline="0" axis="axisRow" fieldPosition="0">
        <references count="1">
          <reference field="4294967294" count="1" selected="0">
            <x v="27"/>
          </reference>
        </references>
      </pivotArea>
    </format>
    <format dxfId="2426">
      <pivotArea field="0" dataOnly="0" labelOnly="1" grandRow="1" outline="0" axis="axisRow" fieldPosition="0">
        <references count="1">
          <reference field="4294967294" count="1" selected="0">
            <x v="28"/>
          </reference>
        </references>
      </pivotArea>
    </format>
    <format dxfId="2425">
      <pivotArea field="0" dataOnly="0" labelOnly="1" grandRow="1" outline="0" axis="axisRow" fieldPosition="0">
        <references count="1">
          <reference field="4294967294" count="1" selected="0">
            <x v="29"/>
          </reference>
        </references>
      </pivotArea>
    </format>
    <format dxfId="2424">
      <pivotArea field="0" dataOnly="0" labelOnly="1" grandRow="1" outline="0" axis="axisRow" fieldPosition="0">
        <references count="1">
          <reference field="4294967294" count="1" selected="0">
            <x v="30"/>
          </reference>
        </references>
      </pivotArea>
    </format>
    <format dxfId="2423">
      <pivotArea field="0" dataOnly="0" labelOnly="1" grandRow="1" outline="0" axis="axisRow" fieldPosition="0">
        <references count="1">
          <reference field="4294967294" count="1" selected="0">
            <x v="31"/>
          </reference>
        </references>
      </pivotArea>
    </format>
    <format dxfId="2422">
      <pivotArea field="0" dataOnly="0" labelOnly="1" grandRow="1" outline="0" axis="axisRow" fieldPosition="0">
        <references count="1">
          <reference field="4294967294" count="1" selected="0">
            <x v="32"/>
          </reference>
        </references>
      </pivotArea>
    </format>
    <format dxfId="2421">
      <pivotArea field="0" dataOnly="0" labelOnly="1" grandRow="1" outline="0" axis="axisRow" fieldPosition="0">
        <references count="1">
          <reference field="4294967294" count="1" selected="0">
            <x v="33"/>
          </reference>
        </references>
      </pivotArea>
    </format>
    <format dxfId="2420">
      <pivotArea field="0" dataOnly="0" labelOnly="1" grandRow="1" outline="0" axis="axisRow" fieldPosition="0">
        <references count="1">
          <reference field="4294967294" count="1" selected="0">
            <x v="34"/>
          </reference>
        </references>
      </pivotArea>
    </format>
    <format dxfId="2419">
      <pivotArea field="0" dataOnly="0" labelOnly="1" grandRow="1" outline="0" axis="axisRow" fieldPosition="0">
        <references count="1">
          <reference field="4294967294" count="1" selected="0">
            <x v="35"/>
          </reference>
        </references>
      </pivotArea>
    </format>
    <format dxfId="2418">
      <pivotArea field="0" dataOnly="0" labelOnly="1" grandRow="1" outline="0" axis="axisRow" fieldPosition="0">
        <references count="1">
          <reference field="4294967294" count="1" selected="0">
            <x v="0"/>
          </reference>
        </references>
      </pivotArea>
    </format>
    <format dxfId="2417">
      <pivotArea field="0" dataOnly="0" labelOnly="1" grandRow="1" outline="0" axis="axisRow" fieldPosition="0">
        <references count="1">
          <reference field="4294967294" count="1" selected="0">
            <x v="1"/>
          </reference>
        </references>
      </pivotArea>
    </format>
    <format dxfId="2416">
      <pivotArea field="0" dataOnly="0" labelOnly="1" grandRow="1" outline="0" axis="axisRow" fieldPosition="0">
        <references count="1">
          <reference field="4294967294" count="1" selected="0">
            <x v="2"/>
          </reference>
        </references>
      </pivotArea>
    </format>
    <format dxfId="2415">
      <pivotArea field="0" dataOnly="0" labelOnly="1" grandRow="1" outline="0" axis="axisRow" fieldPosition="0">
        <references count="1">
          <reference field="4294967294" count="1" selected="0">
            <x v="3"/>
          </reference>
        </references>
      </pivotArea>
    </format>
    <format dxfId="2414">
      <pivotArea field="0" dataOnly="0" labelOnly="1" grandRow="1" outline="0" axis="axisRow" fieldPosition="0">
        <references count="1">
          <reference field="4294967294" count="1" selected="0">
            <x v="4"/>
          </reference>
        </references>
      </pivotArea>
    </format>
    <format dxfId="2413">
      <pivotArea field="0" dataOnly="0" labelOnly="1" grandRow="1" outline="0" axis="axisRow" fieldPosition="0">
        <references count="1">
          <reference field="4294967294" count="1" selected="0">
            <x v="5"/>
          </reference>
        </references>
      </pivotArea>
    </format>
    <format dxfId="2412">
      <pivotArea field="0" dataOnly="0" labelOnly="1" grandRow="1" outline="0" axis="axisRow" fieldPosition="0">
        <references count="1">
          <reference field="4294967294" count="1" selected="0">
            <x v="6"/>
          </reference>
        </references>
      </pivotArea>
    </format>
    <format dxfId="2411">
      <pivotArea field="0" dataOnly="0" labelOnly="1" grandRow="1" outline="0" axis="axisRow" fieldPosition="0">
        <references count="1">
          <reference field="4294967294" count="1" selected="0">
            <x v="7"/>
          </reference>
        </references>
      </pivotArea>
    </format>
    <format dxfId="2410">
      <pivotArea field="0" dataOnly="0" labelOnly="1" grandRow="1" outline="0" axis="axisRow" fieldPosition="0">
        <references count="1">
          <reference field="4294967294" count="1" selected="0">
            <x v="8"/>
          </reference>
        </references>
      </pivotArea>
    </format>
    <format dxfId="2409">
      <pivotArea field="0" dataOnly="0" labelOnly="1" grandRow="1" outline="0" axis="axisRow" fieldPosition="0">
        <references count="1">
          <reference field="4294967294" count="1" selected="0">
            <x v="9"/>
          </reference>
        </references>
      </pivotArea>
    </format>
    <format dxfId="2408">
      <pivotArea field="0" dataOnly="0" labelOnly="1" grandRow="1" outline="0" axis="axisRow" fieldPosition="0">
        <references count="1">
          <reference field="4294967294" count="1" selected="0">
            <x v="10"/>
          </reference>
        </references>
      </pivotArea>
    </format>
    <format dxfId="2407">
      <pivotArea field="0" dataOnly="0" labelOnly="1" grandRow="1" outline="0" axis="axisRow" fieldPosition="0">
        <references count="1">
          <reference field="4294967294" count="1" selected="0">
            <x v="11"/>
          </reference>
        </references>
      </pivotArea>
    </format>
    <format dxfId="2406">
      <pivotArea field="0" dataOnly="0" labelOnly="1" grandRow="1" outline="0" axis="axisRow" fieldPosition="0">
        <references count="1">
          <reference field="4294967294" count="1" selected="0">
            <x v="12"/>
          </reference>
        </references>
      </pivotArea>
    </format>
    <format dxfId="2405">
      <pivotArea field="0" dataOnly="0" labelOnly="1" grandRow="1" outline="0" axis="axisRow" fieldPosition="0">
        <references count="1">
          <reference field="4294967294" count="1" selected="0">
            <x v="13"/>
          </reference>
        </references>
      </pivotArea>
    </format>
    <format dxfId="2404">
      <pivotArea field="0" dataOnly="0" labelOnly="1" grandRow="1" outline="0" axis="axisRow" fieldPosition="0">
        <references count="1">
          <reference field="4294967294" count="1" selected="0">
            <x v="14"/>
          </reference>
        </references>
      </pivotArea>
    </format>
    <format dxfId="2403">
      <pivotArea field="0" dataOnly="0" labelOnly="1" grandRow="1" outline="0" axis="axisRow" fieldPosition="0">
        <references count="1">
          <reference field="4294967294" count="1" selected="0">
            <x v="15"/>
          </reference>
        </references>
      </pivotArea>
    </format>
    <format dxfId="2402">
      <pivotArea field="0" dataOnly="0" labelOnly="1" grandRow="1" outline="0" axis="axisRow" fieldPosition="0">
        <references count="1">
          <reference field="4294967294" count="1" selected="0">
            <x v="16"/>
          </reference>
        </references>
      </pivotArea>
    </format>
    <format dxfId="2401">
      <pivotArea field="0" dataOnly="0" labelOnly="1" grandRow="1" outline="0" axis="axisRow" fieldPosition="0">
        <references count="1">
          <reference field="4294967294" count="1" selected="0">
            <x v="17"/>
          </reference>
        </references>
      </pivotArea>
    </format>
    <format dxfId="2400">
      <pivotArea field="0" dataOnly="0" labelOnly="1" grandRow="1" outline="0" axis="axisRow" fieldPosition="0">
        <references count="1">
          <reference field="4294967294" count="1" selected="0">
            <x v="18"/>
          </reference>
        </references>
      </pivotArea>
    </format>
    <format dxfId="2399">
      <pivotArea field="0" dataOnly="0" labelOnly="1" grandRow="1" outline="0" axis="axisRow" fieldPosition="0">
        <references count="1">
          <reference field="4294967294" count="1" selected="0">
            <x v="19"/>
          </reference>
        </references>
      </pivotArea>
    </format>
    <format dxfId="2398">
      <pivotArea field="0" dataOnly="0" labelOnly="1" grandRow="1" outline="0" axis="axisRow" fieldPosition="0">
        <references count="1">
          <reference field="4294967294" count="1" selected="0">
            <x v="20"/>
          </reference>
        </references>
      </pivotArea>
    </format>
    <format dxfId="2397">
      <pivotArea field="0" dataOnly="0" labelOnly="1" grandRow="1" outline="0" axis="axisRow" fieldPosition="0">
        <references count="1">
          <reference field="4294967294" count="1" selected="0">
            <x v="21"/>
          </reference>
        </references>
      </pivotArea>
    </format>
    <format dxfId="2396">
      <pivotArea field="0" dataOnly="0" labelOnly="1" grandRow="1" outline="0" axis="axisRow" fieldPosition="0">
        <references count="1">
          <reference field="4294967294" count="1" selected="0">
            <x v="22"/>
          </reference>
        </references>
      </pivotArea>
    </format>
    <format dxfId="2395">
      <pivotArea field="0" dataOnly="0" labelOnly="1" grandRow="1" outline="0" axis="axisRow" fieldPosition="0">
        <references count="1">
          <reference field="4294967294" count="1" selected="0">
            <x v="23"/>
          </reference>
        </references>
      </pivotArea>
    </format>
    <format dxfId="2394">
      <pivotArea field="0" dataOnly="0" labelOnly="1" grandRow="1" outline="0" axis="axisRow" fieldPosition="0">
        <references count="1">
          <reference field="4294967294" count="1" selected="0">
            <x v="24"/>
          </reference>
        </references>
      </pivotArea>
    </format>
    <format dxfId="2393">
      <pivotArea field="0" dataOnly="0" labelOnly="1" grandRow="1" outline="0" axis="axisRow" fieldPosition="0">
        <references count="1">
          <reference field="4294967294" count="1" selected="0">
            <x v="25"/>
          </reference>
        </references>
      </pivotArea>
    </format>
    <format dxfId="2392">
      <pivotArea field="0" dataOnly="0" labelOnly="1" grandRow="1" outline="0" axis="axisRow" fieldPosition="0">
        <references count="1">
          <reference field="4294967294" count="1" selected="0">
            <x v="26"/>
          </reference>
        </references>
      </pivotArea>
    </format>
    <format dxfId="2391">
      <pivotArea field="0" dataOnly="0" labelOnly="1" grandRow="1" outline="0" axis="axisRow" fieldPosition="0">
        <references count="1">
          <reference field="4294967294" count="1" selected="0">
            <x v="27"/>
          </reference>
        </references>
      </pivotArea>
    </format>
    <format dxfId="2390">
      <pivotArea field="0" dataOnly="0" labelOnly="1" grandRow="1" outline="0" axis="axisRow" fieldPosition="0">
        <references count="1">
          <reference field="4294967294" count="1" selected="0">
            <x v="28"/>
          </reference>
        </references>
      </pivotArea>
    </format>
    <format dxfId="2389">
      <pivotArea field="0" dataOnly="0" labelOnly="1" grandRow="1" outline="0" axis="axisRow" fieldPosition="0">
        <references count="1">
          <reference field="4294967294" count="1" selected="0">
            <x v="29"/>
          </reference>
        </references>
      </pivotArea>
    </format>
    <format dxfId="2388">
      <pivotArea field="0" dataOnly="0" labelOnly="1" grandRow="1" outline="0" axis="axisRow" fieldPosition="0">
        <references count="1">
          <reference field="4294967294" count="1" selected="0">
            <x v="30"/>
          </reference>
        </references>
      </pivotArea>
    </format>
    <format dxfId="2387">
      <pivotArea field="0" dataOnly="0" labelOnly="1" grandRow="1" outline="0" axis="axisRow" fieldPosition="0">
        <references count="1">
          <reference field="4294967294" count="1" selected="0">
            <x v="31"/>
          </reference>
        </references>
      </pivotArea>
    </format>
    <format dxfId="2386">
      <pivotArea field="0" dataOnly="0" labelOnly="1" grandRow="1" outline="0" axis="axisRow" fieldPosition="0">
        <references count="1">
          <reference field="4294967294" count="1" selected="0">
            <x v="32"/>
          </reference>
        </references>
      </pivotArea>
    </format>
    <format dxfId="2385">
      <pivotArea field="0" dataOnly="0" labelOnly="1" grandRow="1" outline="0" axis="axisRow" fieldPosition="0">
        <references count="1">
          <reference field="4294967294" count="1" selected="0">
            <x v="33"/>
          </reference>
        </references>
      </pivotArea>
    </format>
    <format dxfId="2384">
      <pivotArea field="0" dataOnly="0" labelOnly="1" grandRow="1" outline="0" axis="axisRow" fieldPosition="0">
        <references count="1">
          <reference field="4294967294" count="1" selected="0">
            <x v="34"/>
          </reference>
        </references>
      </pivotArea>
    </format>
    <format dxfId="2383">
      <pivotArea field="0" dataOnly="0" labelOnly="1" grandRow="1" outline="0" axis="axisRow" fieldPosition="0">
        <references count="1">
          <reference field="4294967294" count="1" selected="0">
            <x v="35"/>
          </reference>
        </references>
      </pivotArea>
    </format>
    <format dxfId="2382">
      <pivotArea field="0" dataOnly="0" labelOnly="1" grandRow="1" outline="0" axis="axisRow" fieldPosition="0">
        <references count="1">
          <reference field="4294967294" count="1" selected="0">
            <x v="0"/>
          </reference>
        </references>
      </pivotArea>
    </format>
    <format dxfId="2381">
      <pivotArea field="0" dataOnly="0" labelOnly="1" grandRow="1" outline="0" axis="axisRow" fieldPosition="0">
        <references count="1">
          <reference field="4294967294" count="1" selected="0">
            <x v="1"/>
          </reference>
        </references>
      </pivotArea>
    </format>
    <format dxfId="2380">
      <pivotArea field="0" dataOnly="0" labelOnly="1" grandRow="1" outline="0" axis="axisRow" fieldPosition="0">
        <references count="1">
          <reference field="4294967294" count="1" selected="0">
            <x v="2"/>
          </reference>
        </references>
      </pivotArea>
    </format>
    <format dxfId="2379">
      <pivotArea field="0" dataOnly="0" labelOnly="1" grandRow="1" outline="0" axis="axisRow" fieldPosition="0">
        <references count="1">
          <reference field="4294967294" count="1" selected="0">
            <x v="3"/>
          </reference>
        </references>
      </pivotArea>
    </format>
    <format dxfId="2378">
      <pivotArea field="0" dataOnly="0" labelOnly="1" grandRow="1" outline="0" axis="axisRow" fieldPosition="0">
        <references count="1">
          <reference field="4294967294" count="1" selected="0">
            <x v="4"/>
          </reference>
        </references>
      </pivotArea>
    </format>
    <format dxfId="2377">
      <pivotArea field="0" dataOnly="0" labelOnly="1" grandRow="1" outline="0" axis="axisRow" fieldPosition="0">
        <references count="1">
          <reference field="4294967294" count="1" selected="0">
            <x v="5"/>
          </reference>
        </references>
      </pivotArea>
    </format>
    <format dxfId="2376">
      <pivotArea field="0" dataOnly="0" labelOnly="1" grandRow="1" outline="0" axis="axisRow" fieldPosition="0">
        <references count="1">
          <reference field="4294967294" count="1" selected="0">
            <x v="6"/>
          </reference>
        </references>
      </pivotArea>
    </format>
    <format dxfId="2375">
      <pivotArea field="0" dataOnly="0" labelOnly="1" grandRow="1" outline="0" axis="axisRow" fieldPosition="0">
        <references count="1">
          <reference field="4294967294" count="1" selected="0">
            <x v="7"/>
          </reference>
        </references>
      </pivotArea>
    </format>
    <format dxfId="2374">
      <pivotArea field="0" dataOnly="0" labelOnly="1" grandRow="1" outline="0" axis="axisRow" fieldPosition="0">
        <references count="1">
          <reference field="4294967294" count="1" selected="0">
            <x v="8"/>
          </reference>
        </references>
      </pivotArea>
    </format>
    <format dxfId="2373">
      <pivotArea field="0" dataOnly="0" labelOnly="1" grandRow="1" outline="0" axis="axisRow" fieldPosition="0">
        <references count="1">
          <reference field="4294967294" count="1" selected="0">
            <x v="9"/>
          </reference>
        </references>
      </pivotArea>
    </format>
    <format dxfId="2372">
      <pivotArea field="0" dataOnly="0" labelOnly="1" grandRow="1" outline="0" axis="axisRow" fieldPosition="0">
        <references count="1">
          <reference field="4294967294" count="1" selected="0">
            <x v="10"/>
          </reference>
        </references>
      </pivotArea>
    </format>
    <format dxfId="2371">
      <pivotArea field="0" dataOnly="0" labelOnly="1" grandRow="1" outline="0" axis="axisRow" fieldPosition="0">
        <references count="1">
          <reference field="4294967294" count="1" selected="0">
            <x v="11"/>
          </reference>
        </references>
      </pivotArea>
    </format>
    <format dxfId="2370">
      <pivotArea field="0" dataOnly="0" labelOnly="1" grandRow="1" outline="0" axis="axisRow" fieldPosition="0">
        <references count="1">
          <reference field="4294967294" count="1" selected="0">
            <x v="12"/>
          </reference>
        </references>
      </pivotArea>
    </format>
    <format dxfId="2369">
      <pivotArea field="0" dataOnly="0" labelOnly="1" grandRow="1" outline="0" axis="axisRow" fieldPosition="0">
        <references count="1">
          <reference field="4294967294" count="1" selected="0">
            <x v="13"/>
          </reference>
        </references>
      </pivotArea>
    </format>
    <format dxfId="2368">
      <pivotArea field="0" dataOnly="0" labelOnly="1" grandRow="1" outline="0" axis="axisRow" fieldPosition="0">
        <references count="1">
          <reference field="4294967294" count="1" selected="0">
            <x v="14"/>
          </reference>
        </references>
      </pivotArea>
    </format>
    <format dxfId="2367">
      <pivotArea field="0" dataOnly="0" labelOnly="1" grandRow="1" outline="0" axis="axisRow" fieldPosition="0">
        <references count="1">
          <reference field="4294967294" count="1" selected="0">
            <x v="15"/>
          </reference>
        </references>
      </pivotArea>
    </format>
    <format dxfId="2366">
      <pivotArea field="0" dataOnly="0" labelOnly="1" grandRow="1" outline="0" axis="axisRow" fieldPosition="0">
        <references count="1">
          <reference field="4294967294" count="1" selected="0">
            <x v="16"/>
          </reference>
        </references>
      </pivotArea>
    </format>
    <format dxfId="2365">
      <pivotArea field="0" dataOnly="0" labelOnly="1" grandRow="1" outline="0" axis="axisRow" fieldPosition="0">
        <references count="1">
          <reference field="4294967294" count="1" selected="0">
            <x v="17"/>
          </reference>
        </references>
      </pivotArea>
    </format>
    <format dxfId="2364">
      <pivotArea field="0" dataOnly="0" labelOnly="1" grandRow="1" outline="0" axis="axisRow" fieldPosition="0">
        <references count="1">
          <reference field="4294967294" count="1" selected="0">
            <x v="18"/>
          </reference>
        </references>
      </pivotArea>
    </format>
    <format dxfId="2363">
      <pivotArea field="0" dataOnly="0" labelOnly="1" grandRow="1" outline="0" axis="axisRow" fieldPosition="0">
        <references count="1">
          <reference field="4294967294" count="1" selected="0">
            <x v="19"/>
          </reference>
        </references>
      </pivotArea>
    </format>
    <format dxfId="2362">
      <pivotArea field="0" dataOnly="0" labelOnly="1" grandRow="1" outline="0" axis="axisRow" fieldPosition="0">
        <references count="1">
          <reference field="4294967294" count="1" selected="0">
            <x v="20"/>
          </reference>
        </references>
      </pivotArea>
    </format>
    <format dxfId="2361">
      <pivotArea field="0" dataOnly="0" labelOnly="1" grandRow="1" outline="0" axis="axisRow" fieldPosition="0">
        <references count="1">
          <reference field="4294967294" count="1" selected="0">
            <x v="21"/>
          </reference>
        </references>
      </pivotArea>
    </format>
    <format dxfId="2360">
      <pivotArea field="0" dataOnly="0" labelOnly="1" grandRow="1" outline="0" axis="axisRow" fieldPosition="0">
        <references count="1">
          <reference field="4294967294" count="1" selected="0">
            <x v="22"/>
          </reference>
        </references>
      </pivotArea>
    </format>
    <format dxfId="2359">
      <pivotArea field="0" dataOnly="0" labelOnly="1" grandRow="1" outline="0" axis="axisRow" fieldPosition="0">
        <references count="1">
          <reference field="4294967294" count="1" selected="0">
            <x v="23"/>
          </reference>
        </references>
      </pivotArea>
    </format>
    <format dxfId="2358">
      <pivotArea field="0" dataOnly="0" labelOnly="1" grandRow="1" outline="0" axis="axisRow" fieldPosition="0">
        <references count="1">
          <reference field="4294967294" count="1" selected="0">
            <x v="24"/>
          </reference>
        </references>
      </pivotArea>
    </format>
    <format dxfId="2357">
      <pivotArea field="0" dataOnly="0" labelOnly="1" grandRow="1" outline="0" axis="axisRow" fieldPosition="0">
        <references count="1">
          <reference field="4294967294" count="1" selected="0">
            <x v="25"/>
          </reference>
        </references>
      </pivotArea>
    </format>
    <format dxfId="2356">
      <pivotArea field="0" dataOnly="0" labelOnly="1" grandRow="1" outline="0" axis="axisRow" fieldPosition="0">
        <references count="1">
          <reference field="4294967294" count="1" selected="0">
            <x v="26"/>
          </reference>
        </references>
      </pivotArea>
    </format>
    <format dxfId="2355">
      <pivotArea field="0" dataOnly="0" labelOnly="1" grandRow="1" outline="0" axis="axisRow" fieldPosition="0">
        <references count="1">
          <reference field="4294967294" count="1" selected="0">
            <x v="27"/>
          </reference>
        </references>
      </pivotArea>
    </format>
    <format dxfId="2354">
      <pivotArea field="0" dataOnly="0" labelOnly="1" grandRow="1" outline="0" axis="axisRow" fieldPosition="0">
        <references count="1">
          <reference field="4294967294" count="1" selected="0">
            <x v="28"/>
          </reference>
        </references>
      </pivotArea>
    </format>
    <format dxfId="2353">
      <pivotArea field="0" dataOnly="0" labelOnly="1" grandRow="1" outline="0" axis="axisRow" fieldPosition="0">
        <references count="1">
          <reference field="4294967294" count="1" selected="0">
            <x v="29"/>
          </reference>
        </references>
      </pivotArea>
    </format>
    <format dxfId="2352">
      <pivotArea field="0" dataOnly="0" labelOnly="1" grandRow="1" outline="0" axis="axisRow" fieldPosition="0">
        <references count="1">
          <reference field="4294967294" count="1" selected="0">
            <x v="30"/>
          </reference>
        </references>
      </pivotArea>
    </format>
    <format dxfId="2351">
      <pivotArea field="0" dataOnly="0" labelOnly="1" grandRow="1" outline="0" axis="axisRow" fieldPosition="0">
        <references count="1">
          <reference field="4294967294" count="1" selected="0">
            <x v="31"/>
          </reference>
        </references>
      </pivotArea>
    </format>
    <format dxfId="2350">
      <pivotArea field="0" dataOnly="0" labelOnly="1" grandRow="1" outline="0" axis="axisRow" fieldPosition="0">
        <references count="1">
          <reference field="4294967294" count="1" selected="0">
            <x v="32"/>
          </reference>
        </references>
      </pivotArea>
    </format>
    <format dxfId="2349">
      <pivotArea field="0" dataOnly="0" labelOnly="1" grandRow="1" outline="0" axis="axisRow" fieldPosition="0">
        <references count="1">
          <reference field="4294967294" count="1" selected="0">
            <x v="33"/>
          </reference>
        </references>
      </pivotArea>
    </format>
    <format dxfId="2348">
      <pivotArea field="0" dataOnly="0" labelOnly="1" grandRow="1" outline="0" axis="axisRow" fieldPosition="0">
        <references count="1">
          <reference field="4294967294" count="1" selected="0">
            <x v="34"/>
          </reference>
        </references>
      </pivotArea>
    </format>
    <format dxfId="2347">
      <pivotArea field="0" dataOnly="0" labelOnly="1" grandRow="1" outline="0" axis="axisRow" fieldPosition="0">
        <references count="1">
          <reference field="4294967294" count="1" selected="0">
            <x v="35"/>
          </reference>
        </references>
      </pivotArea>
    </format>
    <format dxfId="2346">
      <pivotArea field="0" dataOnly="0" labelOnly="1" grandRow="1" outline="0" axis="axisRow" fieldPosition="0">
        <references count="1">
          <reference field="4294967294" count="1" selected="0">
            <x v="0"/>
          </reference>
        </references>
      </pivotArea>
    </format>
    <format dxfId="2345">
      <pivotArea field="0" dataOnly="0" labelOnly="1" grandRow="1" outline="0" axis="axisRow" fieldPosition="0">
        <references count="1">
          <reference field="4294967294" count="1" selected="0">
            <x v="1"/>
          </reference>
        </references>
      </pivotArea>
    </format>
    <format dxfId="2344">
      <pivotArea field="0" dataOnly="0" labelOnly="1" grandRow="1" outline="0" axis="axisRow" fieldPosition="0">
        <references count="1">
          <reference field="4294967294" count="1" selected="0">
            <x v="2"/>
          </reference>
        </references>
      </pivotArea>
    </format>
    <format dxfId="2343">
      <pivotArea field="0" dataOnly="0" labelOnly="1" grandRow="1" outline="0" axis="axisRow" fieldPosition="0">
        <references count="1">
          <reference field="4294967294" count="1" selected="0">
            <x v="3"/>
          </reference>
        </references>
      </pivotArea>
    </format>
    <format dxfId="2342">
      <pivotArea field="0" dataOnly="0" labelOnly="1" grandRow="1" outline="0" axis="axisRow" fieldPosition="0">
        <references count="1">
          <reference field="4294967294" count="1" selected="0">
            <x v="4"/>
          </reference>
        </references>
      </pivotArea>
    </format>
    <format dxfId="2341">
      <pivotArea field="0" dataOnly="0" labelOnly="1" grandRow="1" outline="0" axis="axisRow" fieldPosition="0">
        <references count="1">
          <reference field="4294967294" count="1" selected="0">
            <x v="5"/>
          </reference>
        </references>
      </pivotArea>
    </format>
    <format dxfId="2340">
      <pivotArea field="0" dataOnly="0" labelOnly="1" grandRow="1" outline="0" axis="axisRow" fieldPosition="0">
        <references count="1">
          <reference field="4294967294" count="1" selected="0">
            <x v="6"/>
          </reference>
        </references>
      </pivotArea>
    </format>
    <format dxfId="2339">
      <pivotArea field="0" dataOnly="0" labelOnly="1" grandRow="1" outline="0" axis="axisRow" fieldPosition="0">
        <references count="1">
          <reference field="4294967294" count="1" selected="0">
            <x v="7"/>
          </reference>
        </references>
      </pivotArea>
    </format>
    <format dxfId="2338">
      <pivotArea field="0" dataOnly="0" labelOnly="1" grandRow="1" outline="0" axis="axisRow" fieldPosition="0">
        <references count="1">
          <reference field="4294967294" count="1" selected="0">
            <x v="8"/>
          </reference>
        </references>
      </pivotArea>
    </format>
    <format dxfId="2337">
      <pivotArea field="0" dataOnly="0" labelOnly="1" grandRow="1" outline="0" axis="axisRow" fieldPosition="0">
        <references count="1">
          <reference field="4294967294" count="1" selected="0">
            <x v="9"/>
          </reference>
        </references>
      </pivotArea>
    </format>
    <format dxfId="2336">
      <pivotArea field="0" dataOnly="0" labelOnly="1" grandRow="1" outline="0" axis="axisRow" fieldPosition="0">
        <references count="1">
          <reference field="4294967294" count="1" selected="0">
            <x v="10"/>
          </reference>
        </references>
      </pivotArea>
    </format>
    <format dxfId="2335">
      <pivotArea field="0" dataOnly="0" labelOnly="1" grandRow="1" outline="0" axis="axisRow" fieldPosition="0">
        <references count="1">
          <reference field="4294967294" count="1" selected="0">
            <x v="11"/>
          </reference>
        </references>
      </pivotArea>
    </format>
    <format dxfId="2334">
      <pivotArea field="0" dataOnly="0" labelOnly="1" grandRow="1" outline="0" axis="axisRow" fieldPosition="0">
        <references count="1">
          <reference field="4294967294" count="1" selected="0">
            <x v="12"/>
          </reference>
        </references>
      </pivotArea>
    </format>
    <format dxfId="2333">
      <pivotArea field="0" dataOnly="0" labelOnly="1" grandRow="1" outline="0" axis="axisRow" fieldPosition="0">
        <references count="1">
          <reference field="4294967294" count="1" selected="0">
            <x v="13"/>
          </reference>
        </references>
      </pivotArea>
    </format>
    <format dxfId="2332">
      <pivotArea field="0" dataOnly="0" labelOnly="1" grandRow="1" outline="0" axis="axisRow" fieldPosition="0">
        <references count="1">
          <reference field="4294967294" count="1" selected="0">
            <x v="14"/>
          </reference>
        </references>
      </pivotArea>
    </format>
    <format dxfId="2331">
      <pivotArea field="0" dataOnly="0" labelOnly="1" grandRow="1" outline="0" axis="axisRow" fieldPosition="0">
        <references count="1">
          <reference field="4294967294" count="1" selected="0">
            <x v="15"/>
          </reference>
        </references>
      </pivotArea>
    </format>
    <format dxfId="2330">
      <pivotArea field="0" dataOnly="0" labelOnly="1" grandRow="1" outline="0" axis="axisRow" fieldPosition="0">
        <references count="1">
          <reference field="4294967294" count="1" selected="0">
            <x v="16"/>
          </reference>
        </references>
      </pivotArea>
    </format>
    <format dxfId="2329">
      <pivotArea field="0" dataOnly="0" labelOnly="1" grandRow="1" outline="0" axis="axisRow" fieldPosition="0">
        <references count="1">
          <reference field="4294967294" count="1" selected="0">
            <x v="17"/>
          </reference>
        </references>
      </pivotArea>
    </format>
    <format dxfId="2328">
      <pivotArea field="0" dataOnly="0" labelOnly="1" grandRow="1" outline="0" axis="axisRow" fieldPosition="0">
        <references count="1">
          <reference field="4294967294" count="1" selected="0">
            <x v="18"/>
          </reference>
        </references>
      </pivotArea>
    </format>
    <format dxfId="2327">
      <pivotArea field="0" dataOnly="0" labelOnly="1" grandRow="1" outline="0" axis="axisRow" fieldPosition="0">
        <references count="1">
          <reference field="4294967294" count="1" selected="0">
            <x v="19"/>
          </reference>
        </references>
      </pivotArea>
    </format>
    <format dxfId="2326">
      <pivotArea field="0" dataOnly="0" labelOnly="1" grandRow="1" outline="0" axis="axisRow" fieldPosition="0">
        <references count="1">
          <reference field="4294967294" count="1" selected="0">
            <x v="20"/>
          </reference>
        </references>
      </pivotArea>
    </format>
    <format dxfId="2325">
      <pivotArea field="0" dataOnly="0" labelOnly="1" grandRow="1" outline="0" axis="axisRow" fieldPosition="0">
        <references count="1">
          <reference field="4294967294" count="1" selected="0">
            <x v="21"/>
          </reference>
        </references>
      </pivotArea>
    </format>
    <format dxfId="2324">
      <pivotArea field="0" dataOnly="0" labelOnly="1" grandRow="1" outline="0" axis="axisRow" fieldPosition="0">
        <references count="1">
          <reference field="4294967294" count="1" selected="0">
            <x v="22"/>
          </reference>
        </references>
      </pivotArea>
    </format>
    <format dxfId="2323">
      <pivotArea field="0" dataOnly="0" labelOnly="1" grandRow="1" outline="0" axis="axisRow" fieldPosition="0">
        <references count="1">
          <reference field="4294967294" count="1" selected="0">
            <x v="23"/>
          </reference>
        </references>
      </pivotArea>
    </format>
    <format dxfId="2322">
      <pivotArea field="0" dataOnly="0" labelOnly="1" grandRow="1" outline="0" axis="axisRow" fieldPosition="0">
        <references count="1">
          <reference field="4294967294" count="1" selected="0">
            <x v="24"/>
          </reference>
        </references>
      </pivotArea>
    </format>
    <format dxfId="2321">
      <pivotArea field="0" dataOnly="0" labelOnly="1" grandRow="1" outline="0" axis="axisRow" fieldPosition="0">
        <references count="1">
          <reference field="4294967294" count="1" selected="0">
            <x v="25"/>
          </reference>
        </references>
      </pivotArea>
    </format>
    <format dxfId="2320">
      <pivotArea field="0" dataOnly="0" labelOnly="1" grandRow="1" outline="0" axis="axisRow" fieldPosition="0">
        <references count="1">
          <reference field="4294967294" count="1" selected="0">
            <x v="26"/>
          </reference>
        </references>
      </pivotArea>
    </format>
    <format dxfId="2319">
      <pivotArea field="0" dataOnly="0" labelOnly="1" grandRow="1" outline="0" axis="axisRow" fieldPosition="0">
        <references count="1">
          <reference field="4294967294" count="1" selected="0">
            <x v="27"/>
          </reference>
        </references>
      </pivotArea>
    </format>
    <format dxfId="2318">
      <pivotArea field="0" dataOnly="0" labelOnly="1" grandRow="1" outline="0" axis="axisRow" fieldPosition="0">
        <references count="1">
          <reference field="4294967294" count="1" selected="0">
            <x v="28"/>
          </reference>
        </references>
      </pivotArea>
    </format>
    <format dxfId="2317">
      <pivotArea field="0" dataOnly="0" labelOnly="1" grandRow="1" outline="0" axis="axisRow" fieldPosition="0">
        <references count="1">
          <reference field="4294967294" count="1" selected="0">
            <x v="29"/>
          </reference>
        </references>
      </pivotArea>
    </format>
    <format dxfId="2316">
      <pivotArea field="0" dataOnly="0" labelOnly="1" grandRow="1" outline="0" axis="axisRow" fieldPosition="0">
        <references count="1">
          <reference field="4294967294" count="1" selected="0">
            <x v="30"/>
          </reference>
        </references>
      </pivotArea>
    </format>
    <format dxfId="2315">
      <pivotArea field="0" dataOnly="0" labelOnly="1" grandRow="1" outline="0" axis="axisRow" fieldPosition="0">
        <references count="1">
          <reference field="4294967294" count="1" selected="0">
            <x v="31"/>
          </reference>
        </references>
      </pivotArea>
    </format>
    <format dxfId="2314">
      <pivotArea field="0" dataOnly="0" labelOnly="1" grandRow="1" outline="0" axis="axisRow" fieldPosition="0">
        <references count="1">
          <reference field="4294967294" count="1" selected="0">
            <x v="32"/>
          </reference>
        </references>
      </pivotArea>
    </format>
    <format dxfId="2313">
      <pivotArea field="0" dataOnly="0" labelOnly="1" grandRow="1" outline="0" axis="axisRow" fieldPosition="0">
        <references count="1">
          <reference field="4294967294" count="1" selected="0">
            <x v="33"/>
          </reference>
        </references>
      </pivotArea>
    </format>
    <format dxfId="2312">
      <pivotArea field="0" dataOnly="0" labelOnly="1" grandRow="1" outline="0" axis="axisRow" fieldPosition="0">
        <references count="1">
          <reference field="4294967294" count="1" selected="0">
            <x v="34"/>
          </reference>
        </references>
      </pivotArea>
    </format>
    <format dxfId="2311">
      <pivotArea field="0" dataOnly="0" labelOnly="1" grandRow="1" outline="0" axis="axisRow" fieldPosition="0">
        <references count="1">
          <reference field="4294967294" count="1" selected="0">
            <x v="35"/>
          </reference>
        </references>
      </pivotArea>
    </format>
    <format dxfId="2310">
      <pivotArea field="0" dataOnly="0" labelOnly="1" grandRow="1" outline="0" axis="axisRow" fieldPosition="0">
        <references count="1">
          <reference field="4294967294" count="1" selected="0">
            <x v="0"/>
          </reference>
        </references>
      </pivotArea>
    </format>
    <format dxfId="2309">
      <pivotArea field="0" dataOnly="0" labelOnly="1" grandRow="1" outline="0" axis="axisRow" fieldPosition="0">
        <references count="1">
          <reference field="4294967294" count="1" selected="0">
            <x v="1"/>
          </reference>
        </references>
      </pivotArea>
    </format>
    <format dxfId="2308">
      <pivotArea field="0" dataOnly="0" labelOnly="1" grandRow="1" outline="0" axis="axisRow" fieldPosition="0">
        <references count="1">
          <reference field="4294967294" count="1" selected="0">
            <x v="2"/>
          </reference>
        </references>
      </pivotArea>
    </format>
    <format dxfId="2307">
      <pivotArea field="0" dataOnly="0" labelOnly="1" grandRow="1" outline="0" axis="axisRow" fieldPosition="0">
        <references count="1">
          <reference field="4294967294" count="1" selected="0">
            <x v="3"/>
          </reference>
        </references>
      </pivotArea>
    </format>
    <format dxfId="2306">
      <pivotArea field="0" dataOnly="0" labelOnly="1" grandRow="1" outline="0" axis="axisRow" fieldPosition="0">
        <references count="1">
          <reference field="4294967294" count="1" selected="0">
            <x v="4"/>
          </reference>
        </references>
      </pivotArea>
    </format>
    <format dxfId="2305">
      <pivotArea field="0" dataOnly="0" labelOnly="1" grandRow="1" outline="0" axis="axisRow" fieldPosition="0">
        <references count="1">
          <reference field="4294967294" count="1" selected="0">
            <x v="5"/>
          </reference>
        </references>
      </pivotArea>
    </format>
    <format dxfId="2304">
      <pivotArea field="0" dataOnly="0" labelOnly="1" grandRow="1" outline="0" axis="axisRow" fieldPosition="0">
        <references count="1">
          <reference field="4294967294" count="1" selected="0">
            <x v="6"/>
          </reference>
        </references>
      </pivotArea>
    </format>
    <format dxfId="2303">
      <pivotArea field="0" dataOnly="0" labelOnly="1" grandRow="1" outline="0" axis="axisRow" fieldPosition="0">
        <references count="1">
          <reference field="4294967294" count="1" selected="0">
            <x v="7"/>
          </reference>
        </references>
      </pivotArea>
    </format>
    <format dxfId="2302">
      <pivotArea field="0" dataOnly="0" labelOnly="1" grandRow="1" outline="0" axis="axisRow" fieldPosition="0">
        <references count="1">
          <reference field="4294967294" count="1" selected="0">
            <x v="8"/>
          </reference>
        </references>
      </pivotArea>
    </format>
    <format dxfId="2301">
      <pivotArea field="0" dataOnly="0" labelOnly="1" grandRow="1" outline="0" axis="axisRow" fieldPosition="0">
        <references count="1">
          <reference field="4294967294" count="1" selected="0">
            <x v="9"/>
          </reference>
        </references>
      </pivotArea>
    </format>
    <format dxfId="2300">
      <pivotArea field="0" dataOnly="0" labelOnly="1" grandRow="1" outline="0" axis="axisRow" fieldPosition="0">
        <references count="1">
          <reference field="4294967294" count="1" selected="0">
            <x v="10"/>
          </reference>
        </references>
      </pivotArea>
    </format>
    <format dxfId="2299">
      <pivotArea field="0" dataOnly="0" labelOnly="1" grandRow="1" outline="0" axis="axisRow" fieldPosition="0">
        <references count="1">
          <reference field="4294967294" count="1" selected="0">
            <x v="11"/>
          </reference>
        </references>
      </pivotArea>
    </format>
    <format dxfId="2298">
      <pivotArea field="0" dataOnly="0" labelOnly="1" grandRow="1" outline="0" axis="axisRow" fieldPosition="0">
        <references count="1">
          <reference field="4294967294" count="1" selected="0">
            <x v="12"/>
          </reference>
        </references>
      </pivotArea>
    </format>
    <format dxfId="2297">
      <pivotArea field="0" dataOnly="0" labelOnly="1" grandRow="1" outline="0" axis="axisRow" fieldPosition="0">
        <references count="1">
          <reference field="4294967294" count="1" selected="0">
            <x v="13"/>
          </reference>
        </references>
      </pivotArea>
    </format>
    <format dxfId="2296">
      <pivotArea field="0" dataOnly="0" labelOnly="1" grandRow="1" outline="0" axis="axisRow" fieldPosition="0">
        <references count="1">
          <reference field="4294967294" count="1" selected="0">
            <x v="14"/>
          </reference>
        </references>
      </pivotArea>
    </format>
    <format dxfId="2295">
      <pivotArea field="0" dataOnly="0" labelOnly="1" grandRow="1" outline="0" axis="axisRow" fieldPosition="0">
        <references count="1">
          <reference field="4294967294" count="1" selected="0">
            <x v="15"/>
          </reference>
        </references>
      </pivotArea>
    </format>
    <format dxfId="2294">
      <pivotArea field="0" dataOnly="0" labelOnly="1" grandRow="1" outline="0" axis="axisRow" fieldPosition="0">
        <references count="1">
          <reference field="4294967294" count="1" selected="0">
            <x v="16"/>
          </reference>
        </references>
      </pivotArea>
    </format>
    <format dxfId="2293">
      <pivotArea field="0" dataOnly="0" labelOnly="1" grandRow="1" outline="0" axis="axisRow" fieldPosition="0">
        <references count="1">
          <reference field="4294967294" count="1" selected="0">
            <x v="17"/>
          </reference>
        </references>
      </pivotArea>
    </format>
    <format dxfId="2292">
      <pivotArea field="0" dataOnly="0" labelOnly="1" grandRow="1" outline="0" axis="axisRow" fieldPosition="0">
        <references count="1">
          <reference field="4294967294" count="1" selected="0">
            <x v="18"/>
          </reference>
        </references>
      </pivotArea>
    </format>
    <format dxfId="2291">
      <pivotArea field="0" dataOnly="0" labelOnly="1" grandRow="1" outline="0" axis="axisRow" fieldPosition="0">
        <references count="1">
          <reference field="4294967294" count="1" selected="0">
            <x v="19"/>
          </reference>
        </references>
      </pivotArea>
    </format>
    <format dxfId="2290">
      <pivotArea field="0" dataOnly="0" labelOnly="1" grandRow="1" outline="0" axis="axisRow" fieldPosition="0">
        <references count="1">
          <reference field="4294967294" count="1" selected="0">
            <x v="20"/>
          </reference>
        </references>
      </pivotArea>
    </format>
    <format dxfId="2289">
      <pivotArea field="0" dataOnly="0" labelOnly="1" grandRow="1" outline="0" axis="axisRow" fieldPosition="0">
        <references count="1">
          <reference field="4294967294" count="1" selected="0">
            <x v="21"/>
          </reference>
        </references>
      </pivotArea>
    </format>
    <format dxfId="2288">
      <pivotArea field="0" dataOnly="0" labelOnly="1" grandRow="1" outline="0" axis="axisRow" fieldPosition="0">
        <references count="1">
          <reference field="4294967294" count="1" selected="0">
            <x v="22"/>
          </reference>
        </references>
      </pivotArea>
    </format>
    <format dxfId="2287">
      <pivotArea field="0" dataOnly="0" labelOnly="1" grandRow="1" outline="0" axis="axisRow" fieldPosition="0">
        <references count="1">
          <reference field="4294967294" count="1" selected="0">
            <x v="23"/>
          </reference>
        </references>
      </pivotArea>
    </format>
    <format dxfId="2286">
      <pivotArea field="0" dataOnly="0" labelOnly="1" grandRow="1" outline="0" axis="axisRow" fieldPosition="0">
        <references count="1">
          <reference field="4294967294" count="1" selected="0">
            <x v="24"/>
          </reference>
        </references>
      </pivotArea>
    </format>
    <format dxfId="2285">
      <pivotArea field="0" dataOnly="0" labelOnly="1" grandRow="1" outline="0" axis="axisRow" fieldPosition="0">
        <references count="1">
          <reference field="4294967294" count="1" selected="0">
            <x v="25"/>
          </reference>
        </references>
      </pivotArea>
    </format>
    <format dxfId="2284">
      <pivotArea field="0" dataOnly="0" labelOnly="1" grandRow="1" outline="0" axis="axisRow" fieldPosition="0">
        <references count="1">
          <reference field="4294967294" count="1" selected="0">
            <x v="26"/>
          </reference>
        </references>
      </pivotArea>
    </format>
    <format dxfId="2283">
      <pivotArea field="0" dataOnly="0" labelOnly="1" grandRow="1" outline="0" axis="axisRow" fieldPosition="0">
        <references count="1">
          <reference field="4294967294" count="1" selected="0">
            <x v="27"/>
          </reference>
        </references>
      </pivotArea>
    </format>
    <format dxfId="2282">
      <pivotArea field="0" dataOnly="0" labelOnly="1" grandRow="1" outline="0" axis="axisRow" fieldPosition="0">
        <references count="1">
          <reference field="4294967294" count="1" selected="0">
            <x v="28"/>
          </reference>
        </references>
      </pivotArea>
    </format>
    <format dxfId="2281">
      <pivotArea field="0" dataOnly="0" labelOnly="1" grandRow="1" outline="0" axis="axisRow" fieldPosition="0">
        <references count="1">
          <reference field="4294967294" count="1" selected="0">
            <x v="29"/>
          </reference>
        </references>
      </pivotArea>
    </format>
    <format dxfId="2280">
      <pivotArea field="0" dataOnly="0" labelOnly="1" grandRow="1" outline="0" axis="axisRow" fieldPosition="0">
        <references count="1">
          <reference field="4294967294" count="1" selected="0">
            <x v="30"/>
          </reference>
        </references>
      </pivotArea>
    </format>
    <format dxfId="2279">
      <pivotArea field="0" dataOnly="0" labelOnly="1" grandRow="1" outline="0" axis="axisRow" fieldPosition="0">
        <references count="1">
          <reference field="4294967294" count="1" selected="0">
            <x v="31"/>
          </reference>
        </references>
      </pivotArea>
    </format>
    <format dxfId="2278">
      <pivotArea field="0" dataOnly="0" labelOnly="1" grandRow="1" outline="0" axis="axisRow" fieldPosition="0">
        <references count="1">
          <reference field="4294967294" count="1" selected="0">
            <x v="32"/>
          </reference>
        </references>
      </pivotArea>
    </format>
    <format dxfId="2277">
      <pivotArea field="0" dataOnly="0" labelOnly="1" grandRow="1" outline="0" axis="axisRow" fieldPosition="0">
        <references count="1">
          <reference field="4294967294" count="1" selected="0">
            <x v="33"/>
          </reference>
        </references>
      </pivotArea>
    </format>
    <format dxfId="2276">
      <pivotArea field="0" dataOnly="0" labelOnly="1" grandRow="1" outline="0" axis="axisRow" fieldPosition="0">
        <references count="1">
          <reference field="4294967294" count="1" selected="0">
            <x v="34"/>
          </reference>
        </references>
      </pivotArea>
    </format>
    <format dxfId="2275">
      <pivotArea field="0" dataOnly="0" labelOnly="1" grandRow="1" outline="0" axis="axisRow" fieldPosition="0">
        <references count="1">
          <reference field="4294967294" count="1" selected="0">
            <x v="35"/>
          </reference>
        </references>
      </pivotArea>
    </format>
    <format dxfId="2274">
      <pivotArea field="0" dataOnly="0" labelOnly="1" grandRow="1" outline="0" axis="axisRow" fieldPosition="0">
        <references count="1">
          <reference field="4294967294" count="1" selected="0">
            <x v="0"/>
          </reference>
        </references>
      </pivotArea>
    </format>
    <format dxfId="2273">
      <pivotArea field="0" dataOnly="0" labelOnly="1" grandRow="1" outline="0" axis="axisRow" fieldPosition="0">
        <references count="1">
          <reference field="4294967294" count="1" selected="0">
            <x v="1"/>
          </reference>
        </references>
      </pivotArea>
    </format>
    <format dxfId="2272">
      <pivotArea field="0" dataOnly="0" labelOnly="1" grandRow="1" outline="0" axis="axisRow" fieldPosition="0">
        <references count="1">
          <reference field="4294967294" count="1" selected="0">
            <x v="2"/>
          </reference>
        </references>
      </pivotArea>
    </format>
    <format dxfId="2271">
      <pivotArea field="0" dataOnly="0" labelOnly="1" grandRow="1" outline="0" axis="axisRow" fieldPosition="0">
        <references count="1">
          <reference field="4294967294" count="1" selected="0">
            <x v="3"/>
          </reference>
        </references>
      </pivotArea>
    </format>
    <format dxfId="2270">
      <pivotArea field="0" dataOnly="0" labelOnly="1" grandRow="1" outline="0" axis="axisRow" fieldPosition="0">
        <references count="1">
          <reference field="4294967294" count="1" selected="0">
            <x v="4"/>
          </reference>
        </references>
      </pivotArea>
    </format>
    <format dxfId="2269">
      <pivotArea field="0" dataOnly="0" labelOnly="1" grandRow="1" outline="0" axis="axisRow" fieldPosition="0">
        <references count="1">
          <reference field="4294967294" count="1" selected="0">
            <x v="5"/>
          </reference>
        </references>
      </pivotArea>
    </format>
    <format dxfId="2268">
      <pivotArea field="0" dataOnly="0" labelOnly="1" grandRow="1" outline="0" axis="axisRow" fieldPosition="0">
        <references count="1">
          <reference field="4294967294" count="1" selected="0">
            <x v="6"/>
          </reference>
        </references>
      </pivotArea>
    </format>
    <format dxfId="2267">
      <pivotArea field="0" dataOnly="0" labelOnly="1" grandRow="1" outline="0" axis="axisRow" fieldPosition="0">
        <references count="1">
          <reference field="4294967294" count="1" selected="0">
            <x v="7"/>
          </reference>
        </references>
      </pivotArea>
    </format>
    <format dxfId="2266">
      <pivotArea field="0" dataOnly="0" labelOnly="1" grandRow="1" outline="0" axis="axisRow" fieldPosition="0">
        <references count="1">
          <reference field="4294967294" count="1" selected="0">
            <x v="8"/>
          </reference>
        </references>
      </pivotArea>
    </format>
    <format dxfId="2265">
      <pivotArea field="0" dataOnly="0" labelOnly="1" grandRow="1" outline="0" axis="axisRow" fieldPosition="0">
        <references count="1">
          <reference field="4294967294" count="1" selected="0">
            <x v="9"/>
          </reference>
        </references>
      </pivotArea>
    </format>
    <format dxfId="2264">
      <pivotArea field="0" dataOnly="0" labelOnly="1" grandRow="1" outline="0" axis="axisRow" fieldPosition="0">
        <references count="1">
          <reference field="4294967294" count="1" selected="0">
            <x v="10"/>
          </reference>
        </references>
      </pivotArea>
    </format>
    <format dxfId="2263">
      <pivotArea field="0" dataOnly="0" labelOnly="1" grandRow="1" outline="0" axis="axisRow" fieldPosition="0">
        <references count="1">
          <reference field="4294967294" count="1" selected="0">
            <x v="11"/>
          </reference>
        </references>
      </pivotArea>
    </format>
    <format dxfId="2262">
      <pivotArea field="0" dataOnly="0" labelOnly="1" grandRow="1" outline="0" axis="axisRow" fieldPosition="0">
        <references count="1">
          <reference field="4294967294" count="1" selected="0">
            <x v="12"/>
          </reference>
        </references>
      </pivotArea>
    </format>
    <format dxfId="2261">
      <pivotArea field="0" dataOnly="0" labelOnly="1" grandRow="1" outline="0" axis="axisRow" fieldPosition="0">
        <references count="1">
          <reference field="4294967294" count="1" selected="0">
            <x v="13"/>
          </reference>
        </references>
      </pivotArea>
    </format>
    <format dxfId="2260">
      <pivotArea field="0" dataOnly="0" labelOnly="1" grandRow="1" outline="0" axis="axisRow" fieldPosition="0">
        <references count="1">
          <reference field="4294967294" count="1" selected="0">
            <x v="14"/>
          </reference>
        </references>
      </pivotArea>
    </format>
    <format dxfId="2259">
      <pivotArea field="0" dataOnly="0" labelOnly="1" grandRow="1" outline="0" axis="axisRow" fieldPosition="0">
        <references count="1">
          <reference field="4294967294" count="1" selected="0">
            <x v="15"/>
          </reference>
        </references>
      </pivotArea>
    </format>
    <format dxfId="2258">
      <pivotArea field="0" dataOnly="0" labelOnly="1" grandRow="1" outline="0" axis="axisRow" fieldPosition="0">
        <references count="1">
          <reference field="4294967294" count="1" selected="0">
            <x v="16"/>
          </reference>
        </references>
      </pivotArea>
    </format>
    <format dxfId="2257">
      <pivotArea field="0" dataOnly="0" labelOnly="1" grandRow="1" outline="0" axis="axisRow" fieldPosition="0">
        <references count="1">
          <reference field="4294967294" count="1" selected="0">
            <x v="17"/>
          </reference>
        </references>
      </pivotArea>
    </format>
    <format dxfId="2256">
      <pivotArea field="0" dataOnly="0" labelOnly="1" grandRow="1" outline="0" axis="axisRow" fieldPosition="0">
        <references count="1">
          <reference field="4294967294" count="1" selected="0">
            <x v="18"/>
          </reference>
        </references>
      </pivotArea>
    </format>
    <format dxfId="2255">
      <pivotArea field="0" dataOnly="0" labelOnly="1" grandRow="1" outline="0" axis="axisRow" fieldPosition="0">
        <references count="1">
          <reference field="4294967294" count="1" selected="0">
            <x v="19"/>
          </reference>
        </references>
      </pivotArea>
    </format>
    <format dxfId="2254">
      <pivotArea field="0" dataOnly="0" labelOnly="1" grandRow="1" outline="0" axis="axisRow" fieldPosition="0">
        <references count="1">
          <reference field="4294967294" count="1" selected="0">
            <x v="20"/>
          </reference>
        </references>
      </pivotArea>
    </format>
    <format dxfId="2253">
      <pivotArea field="0" dataOnly="0" labelOnly="1" grandRow="1" outline="0" axis="axisRow" fieldPosition="0">
        <references count="1">
          <reference field="4294967294" count="1" selected="0">
            <x v="21"/>
          </reference>
        </references>
      </pivotArea>
    </format>
    <format dxfId="2252">
      <pivotArea field="0" dataOnly="0" labelOnly="1" grandRow="1" outline="0" axis="axisRow" fieldPosition="0">
        <references count="1">
          <reference field="4294967294" count="1" selected="0">
            <x v="22"/>
          </reference>
        </references>
      </pivotArea>
    </format>
    <format dxfId="2251">
      <pivotArea field="0" dataOnly="0" labelOnly="1" grandRow="1" outline="0" axis="axisRow" fieldPosition="0">
        <references count="1">
          <reference field="4294967294" count="1" selected="0">
            <x v="23"/>
          </reference>
        </references>
      </pivotArea>
    </format>
    <format dxfId="2250">
      <pivotArea field="0" dataOnly="0" labelOnly="1" grandRow="1" outline="0" axis="axisRow" fieldPosition="0">
        <references count="1">
          <reference field="4294967294" count="1" selected="0">
            <x v="24"/>
          </reference>
        </references>
      </pivotArea>
    </format>
    <format dxfId="2249">
      <pivotArea field="0" dataOnly="0" labelOnly="1" grandRow="1" outline="0" axis="axisRow" fieldPosition="0">
        <references count="1">
          <reference field="4294967294" count="1" selected="0">
            <x v="25"/>
          </reference>
        </references>
      </pivotArea>
    </format>
    <format dxfId="2248">
      <pivotArea field="0" dataOnly="0" labelOnly="1" grandRow="1" outline="0" axis="axisRow" fieldPosition="0">
        <references count="1">
          <reference field="4294967294" count="1" selected="0">
            <x v="26"/>
          </reference>
        </references>
      </pivotArea>
    </format>
    <format dxfId="2247">
      <pivotArea field="0" dataOnly="0" labelOnly="1" grandRow="1" outline="0" axis="axisRow" fieldPosition="0">
        <references count="1">
          <reference field="4294967294" count="1" selected="0">
            <x v="27"/>
          </reference>
        </references>
      </pivotArea>
    </format>
    <format dxfId="2246">
      <pivotArea field="0" dataOnly="0" labelOnly="1" grandRow="1" outline="0" axis="axisRow" fieldPosition="0">
        <references count="1">
          <reference field="4294967294" count="1" selected="0">
            <x v="28"/>
          </reference>
        </references>
      </pivotArea>
    </format>
    <format dxfId="2245">
      <pivotArea field="0" dataOnly="0" labelOnly="1" grandRow="1" outline="0" axis="axisRow" fieldPosition="0">
        <references count="1">
          <reference field="4294967294" count="1" selected="0">
            <x v="29"/>
          </reference>
        </references>
      </pivotArea>
    </format>
    <format dxfId="2244">
      <pivotArea field="0" dataOnly="0" labelOnly="1" grandRow="1" outline="0" axis="axisRow" fieldPosition="0">
        <references count="1">
          <reference field="4294967294" count="1" selected="0">
            <x v="30"/>
          </reference>
        </references>
      </pivotArea>
    </format>
    <format dxfId="2243">
      <pivotArea field="0" dataOnly="0" labelOnly="1" grandRow="1" outline="0" axis="axisRow" fieldPosition="0">
        <references count="1">
          <reference field="4294967294" count="1" selected="0">
            <x v="31"/>
          </reference>
        </references>
      </pivotArea>
    </format>
    <format dxfId="2242">
      <pivotArea field="0" dataOnly="0" labelOnly="1" grandRow="1" outline="0" axis="axisRow" fieldPosition="0">
        <references count="1">
          <reference field="4294967294" count="1" selected="0">
            <x v="32"/>
          </reference>
        </references>
      </pivotArea>
    </format>
    <format dxfId="2241">
      <pivotArea field="0" dataOnly="0" labelOnly="1" grandRow="1" outline="0" axis="axisRow" fieldPosition="0">
        <references count="1">
          <reference field="4294967294" count="1" selected="0">
            <x v="33"/>
          </reference>
        </references>
      </pivotArea>
    </format>
    <format dxfId="2240">
      <pivotArea field="0" dataOnly="0" labelOnly="1" grandRow="1" outline="0" axis="axisRow" fieldPosition="0">
        <references count="1">
          <reference field="4294967294" count="1" selected="0">
            <x v="34"/>
          </reference>
        </references>
      </pivotArea>
    </format>
    <format dxfId="2239">
      <pivotArea field="0" dataOnly="0" labelOnly="1" grandRow="1" outline="0" axis="axisRow" fieldPosition="0">
        <references count="1">
          <reference field="4294967294" count="1" selected="0">
            <x v="35"/>
          </reference>
        </references>
      </pivotArea>
    </format>
    <format dxfId="2238">
      <pivotArea field="0" dataOnly="0" labelOnly="1" grandRow="1" outline="0" axis="axisRow" fieldPosition="0">
        <references count="1">
          <reference field="4294967294" count="1" selected="0">
            <x v="0"/>
          </reference>
        </references>
      </pivotArea>
    </format>
    <format dxfId="2237">
      <pivotArea field="0" dataOnly="0" labelOnly="1" grandRow="1" outline="0" axis="axisRow" fieldPosition="0">
        <references count="1">
          <reference field="4294967294" count="1" selected="0">
            <x v="1"/>
          </reference>
        </references>
      </pivotArea>
    </format>
    <format dxfId="2236">
      <pivotArea field="0" dataOnly="0" labelOnly="1" grandRow="1" outline="0" axis="axisRow" fieldPosition="0">
        <references count="1">
          <reference field="4294967294" count="1" selected="0">
            <x v="2"/>
          </reference>
        </references>
      </pivotArea>
    </format>
    <format dxfId="2235">
      <pivotArea field="0" dataOnly="0" labelOnly="1" grandRow="1" outline="0" axis="axisRow" fieldPosition="0">
        <references count="1">
          <reference field="4294967294" count="1" selected="0">
            <x v="3"/>
          </reference>
        </references>
      </pivotArea>
    </format>
    <format dxfId="2234">
      <pivotArea field="0" dataOnly="0" labelOnly="1" grandRow="1" outline="0" axis="axisRow" fieldPosition="0">
        <references count="1">
          <reference field="4294967294" count="1" selected="0">
            <x v="4"/>
          </reference>
        </references>
      </pivotArea>
    </format>
    <format dxfId="2233">
      <pivotArea field="0" dataOnly="0" labelOnly="1" grandRow="1" outline="0" axis="axisRow" fieldPosition="0">
        <references count="1">
          <reference field="4294967294" count="1" selected="0">
            <x v="5"/>
          </reference>
        </references>
      </pivotArea>
    </format>
    <format dxfId="2232">
      <pivotArea field="0" dataOnly="0" labelOnly="1" grandRow="1" outline="0" axis="axisRow" fieldPosition="0">
        <references count="1">
          <reference field="4294967294" count="1" selected="0">
            <x v="6"/>
          </reference>
        </references>
      </pivotArea>
    </format>
    <format dxfId="2231">
      <pivotArea field="0" dataOnly="0" labelOnly="1" grandRow="1" outline="0" axis="axisRow" fieldPosition="0">
        <references count="1">
          <reference field="4294967294" count="1" selected="0">
            <x v="7"/>
          </reference>
        </references>
      </pivotArea>
    </format>
    <format dxfId="2230">
      <pivotArea field="0" dataOnly="0" labelOnly="1" grandRow="1" outline="0" axis="axisRow" fieldPosition="0">
        <references count="1">
          <reference field="4294967294" count="1" selected="0">
            <x v="8"/>
          </reference>
        </references>
      </pivotArea>
    </format>
    <format dxfId="2229">
      <pivotArea field="0" dataOnly="0" labelOnly="1" grandRow="1" outline="0" axis="axisRow" fieldPosition="0">
        <references count="1">
          <reference field="4294967294" count="1" selected="0">
            <x v="9"/>
          </reference>
        </references>
      </pivotArea>
    </format>
    <format dxfId="2228">
      <pivotArea field="0" dataOnly="0" labelOnly="1" grandRow="1" outline="0" axis="axisRow" fieldPosition="0">
        <references count="1">
          <reference field="4294967294" count="1" selected="0">
            <x v="10"/>
          </reference>
        </references>
      </pivotArea>
    </format>
    <format dxfId="2227">
      <pivotArea field="0" dataOnly="0" labelOnly="1" grandRow="1" outline="0" axis="axisRow" fieldPosition="0">
        <references count="1">
          <reference field="4294967294" count="1" selected="0">
            <x v="11"/>
          </reference>
        </references>
      </pivotArea>
    </format>
    <format dxfId="2226">
      <pivotArea field="0" dataOnly="0" labelOnly="1" grandRow="1" outline="0" axis="axisRow" fieldPosition="0">
        <references count="1">
          <reference field="4294967294" count="1" selected="0">
            <x v="12"/>
          </reference>
        </references>
      </pivotArea>
    </format>
    <format dxfId="2225">
      <pivotArea field="0" dataOnly="0" labelOnly="1" grandRow="1" outline="0" axis="axisRow" fieldPosition="0">
        <references count="1">
          <reference field="4294967294" count="1" selected="0">
            <x v="13"/>
          </reference>
        </references>
      </pivotArea>
    </format>
    <format dxfId="2224">
      <pivotArea field="0" dataOnly="0" labelOnly="1" grandRow="1" outline="0" axis="axisRow" fieldPosition="0">
        <references count="1">
          <reference field="4294967294" count="1" selected="0">
            <x v="14"/>
          </reference>
        </references>
      </pivotArea>
    </format>
    <format dxfId="2223">
      <pivotArea field="0" dataOnly="0" labelOnly="1" grandRow="1" outline="0" axis="axisRow" fieldPosition="0">
        <references count="1">
          <reference field="4294967294" count="1" selected="0">
            <x v="15"/>
          </reference>
        </references>
      </pivotArea>
    </format>
    <format dxfId="2222">
      <pivotArea field="0" dataOnly="0" labelOnly="1" grandRow="1" outline="0" axis="axisRow" fieldPosition="0">
        <references count="1">
          <reference field="4294967294" count="1" selected="0">
            <x v="16"/>
          </reference>
        </references>
      </pivotArea>
    </format>
    <format dxfId="2221">
      <pivotArea field="0" dataOnly="0" labelOnly="1" grandRow="1" outline="0" axis="axisRow" fieldPosition="0">
        <references count="1">
          <reference field="4294967294" count="1" selected="0">
            <x v="17"/>
          </reference>
        </references>
      </pivotArea>
    </format>
    <format dxfId="2220">
      <pivotArea field="0" dataOnly="0" labelOnly="1" grandRow="1" outline="0" axis="axisRow" fieldPosition="0">
        <references count="1">
          <reference field="4294967294" count="1" selected="0">
            <x v="18"/>
          </reference>
        </references>
      </pivotArea>
    </format>
    <format dxfId="2219">
      <pivotArea field="0" dataOnly="0" labelOnly="1" grandRow="1" outline="0" axis="axisRow" fieldPosition="0">
        <references count="1">
          <reference field="4294967294" count="1" selected="0">
            <x v="19"/>
          </reference>
        </references>
      </pivotArea>
    </format>
    <format dxfId="2218">
      <pivotArea field="0" dataOnly="0" labelOnly="1" grandRow="1" outline="0" axis="axisRow" fieldPosition="0">
        <references count="1">
          <reference field="4294967294" count="1" selected="0">
            <x v="20"/>
          </reference>
        </references>
      </pivotArea>
    </format>
    <format dxfId="2217">
      <pivotArea field="0" dataOnly="0" labelOnly="1" grandRow="1" outline="0" axis="axisRow" fieldPosition="0">
        <references count="1">
          <reference field="4294967294" count="1" selected="0">
            <x v="21"/>
          </reference>
        </references>
      </pivotArea>
    </format>
    <format dxfId="2216">
      <pivotArea field="0" dataOnly="0" labelOnly="1" grandRow="1" outline="0" axis="axisRow" fieldPosition="0">
        <references count="1">
          <reference field="4294967294" count="1" selected="0">
            <x v="22"/>
          </reference>
        </references>
      </pivotArea>
    </format>
    <format dxfId="2215">
      <pivotArea field="0" dataOnly="0" labelOnly="1" grandRow="1" outline="0" axis="axisRow" fieldPosition="0">
        <references count="1">
          <reference field="4294967294" count="1" selected="0">
            <x v="23"/>
          </reference>
        </references>
      </pivotArea>
    </format>
    <format dxfId="2214">
      <pivotArea field="0" dataOnly="0" labelOnly="1" grandRow="1" outline="0" axis="axisRow" fieldPosition="0">
        <references count="1">
          <reference field="4294967294" count="1" selected="0">
            <x v="24"/>
          </reference>
        </references>
      </pivotArea>
    </format>
    <format dxfId="2213">
      <pivotArea field="0" dataOnly="0" labelOnly="1" grandRow="1" outline="0" axis="axisRow" fieldPosition="0">
        <references count="1">
          <reference field="4294967294" count="1" selected="0">
            <x v="25"/>
          </reference>
        </references>
      </pivotArea>
    </format>
    <format dxfId="2212">
      <pivotArea field="0" dataOnly="0" labelOnly="1" grandRow="1" outline="0" axis="axisRow" fieldPosition="0">
        <references count="1">
          <reference field="4294967294" count="1" selected="0">
            <x v="26"/>
          </reference>
        </references>
      </pivotArea>
    </format>
    <format dxfId="2211">
      <pivotArea field="0" dataOnly="0" labelOnly="1" grandRow="1" outline="0" axis="axisRow" fieldPosition="0">
        <references count="1">
          <reference field="4294967294" count="1" selected="0">
            <x v="27"/>
          </reference>
        </references>
      </pivotArea>
    </format>
    <format dxfId="2210">
      <pivotArea field="0" dataOnly="0" labelOnly="1" grandRow="1" outline="0" axis="axisRow" fieldPosition="0">
        <references count="1">
          <reference field="4294967294" count="1" selected="0">
            <x v="28"/>
          </reference>
        </references>
      </pivotArea>
    </format>
    <format dxfId="2209">
      <pivotArea field="0" dataOnly="0" labelOnly="1" grandRow="1" outline="0" axis="axisRow" fieldPosition="0">
        <references count="1">
          <reference field="4294967294" count="1" selected="0">
            <x v="29"/>
          </reference>
        </references>
      </pivotArea>
    </format>
    <format dxfId="2208">
      <pivotArea field="0" dataOnly="0" labelOnly="1" grandRow="1" outline="0" axis="axisRow" fieldPosition="0">
        <references count="1">
          <reference field="4294967294" count="1" selected="0">
            <x v="30"/>
          </reference>
        </references>
      </pivotArea>
    </format>
    <format dxfId="2207">
      <pivotArea field="0" dataOnly="0" labelOnly="1" grandRow="1" outline="0" axis="axisRow" fieldPosition="0">
        <references count="1">
          <reference field="4294967294" count="1" selected="0">
            <x v="31"/>
          </reference>
        </references>
      </pivotArea>
    </format>
    <format dxfId="2206">
      <pivotArea field="0" dataOnly="0" labelOnly="1" grandRow="1" outline="0" axis="axisRow" fieldPosition="0">
        <references count="1">
          <reference field="4294967294" count="1" selected="0">
            <x v="32"/>
          </reference>
        </references>
      </pivotArea>
    </format>
    <format dxfId="2205">
      <pivotArea field="0" dataOnly="0" labelOnly="1" grandRow="1" outline="0" axis="axisRow" fieldPosition="0">
        <references count="1">
          <reference field="4294967294" count="1" selected="0">
            <x v="33"/>
          </reference>
        </references>
      </pivotArea>
    </format>
    <format dxfId="2204">
      <pivotArea field="0" dataOnly="0" labelOnly="1" grandRow="1" outline="0" axis="axisRow" fieldPosition="0">
        <references count="1">
          <reference field="4294967294" count="1" selected="0">
            <x v="34"/>
          </reference>
        </references>
      </pivotArea>
    </format>
    <format dxfId="2203">
      <pivotArea field="0" dataOnly="0" labelOnly="1" grandRow="1" outline="0" axis="axisRow" fieldPosition="0">
        <references count="1">
          <reference field="4294967294" count="1" selected="0">
            <x v="35"/>
          </reference>
        </references>
      </pivotArea>
    </format>
    <format dxfId="2202">
      <pivotArea field="0" dataOnly="0" labelOnly="1" grandRow="1" outline="0" axis="axisRow" fieldPosition="0">
        <references count="1">
          <reference field="4294967294" count="1" selected="0">
            <x v="0"/>
          </reference>
        </references>
      </pivotArea>
    </format>
    <format dxfId="2201">
      <pivotArea field="0" dataOnly="0" labelOnly="1" grandRow="1" outline="0" axis="axisRow" fieldPosition="0">
        <references count="1">
          <reference field="4294967294" count="1" selected="0">
            <x v="1"/>
          </reference>
        </references>
      </pivotArea>
    </format>
    <format dxfId="2200">
      <pivotArea field="0" dataOnly="0" labelOnly="1" grandRow="1" outline="0" axis="axisRow" fieldPosition="0">
        <references count="1">
          <reference field="4294967294" count="1" selected="0">
            <x v="2"/>
          </reference>
        </references>
      </pivotArea>
    </format>
    <format dxfId="2199">
      <pivotArea field="0" dataOnly="0" labelOnly="1" grandRow="1" outline="0" axis="axisRow" fieldPosition="0">
        <references count="1">
          <reference field="4294967294" count="1" selected="0">
            <x v="3"/>
          </reference>
        </references>
      </pivotArea>
    </format>
    <format dxfId="2198">
      <pivotArea field="0" dataOnly="0" labelOnly="1" grandRow="1" outline="0" axis="axisRow" fieldPosition="0">
        <references count="1">
          <reference field="4294967294" count="1" selected="0">
            <x v="4"/>
          </reference>
        </references>
      </pivotArea>
    </format>
    <format dxfId="2197">
      <pivotArea field="0" dataOnly="0" labelOnly="1" grandRow="1" outline="0" axis="axisRow" fieldPosition="0">
        <references count="1">
          <reference field="4294967294" count="1" selected="0">
            <x v="5"/>
          </reference>
        </references>
      </pivotArea>
    </format>
    <format dxfId="2196">
      <pivotArea field="0" dataOnly="0" labelOnly="1" grandRow="1" outline="0" axis="axisRow" fieldPosition="0">
        <references count="1">
          <reference field="4294967294" count="1" selected="0">
            <x v="6"/>
          </reference>
        </references>
      </pivotArea>
    </format>
    <format dxfId="2195">
      <pivotArea field="0" dataOnly="0" labelOnly="1" grandRow="1" outline="0" axis="axisRow" fieldPosition="0">
        <references count="1">
          <reference field="4294967294" count="1" selected="0">
            <x v="7"/>
          </reference>
        </references>
      </pivotArea>
    </format>
    <format dxfId="2194">
      <pivotArea field="0" dataOnly="0" labelOnly="1" grandRow="1" outline="0" axis="axisRow" fieldPosition="0">
        <references count="1">
          <reference field="4294967294" count="1" selected="0">
            <x v="8"/>
          </reference>
        </references>
      </pivotArea>
    </format>
    <format dxfId="2193">
      <pivotArea field="0" dataOnly="0" labelOnly="1" grandRow="1" outline="0" axis="axisRow" fieldPosition="0">
        <references count="1">
          <reference field="4294967294" count="1" selected="0">
            <x v="9"/>
          </reference>
        </references>
      </pivotArea>
    </format>
    <format dxfId="2192">
      <pivotArea field="0" dataOnly="0" labelOnly="1" grandRow="1" outline="0" axis="axisRow" fieldPosition="0">
        <references count="1">
          <reference field="4294967294" count="1" selected="0">
            <x v="10"/>
          </reference>
        </references>
      </pivotArea>
    </format>
    <format dxfId="2191">
      <pivotArea field="0" dataOnly="0" labelOnly="1" grandRow="1" outline="0" axis="axisRow" fieldPosition="0">
        <references count="1">
          <reference field="4294967294" count="1" selected="0">
            <x v="11"/>
          </reference>
        </references>
      </pivotArea>
    </format>
    <format dxfId="2190">
      <pivotArea field="0" dataOnly="0" labelOnly="1" grandRow="1" outline="0" axis="axisRow" fieldPosition="0">
        <references count="1">
          <reference field="4294967294" count="1" selected="0">
            <x v="12"/>
          </reference>
        </references>
      </pivotArea>
    </format>
    <format dxfId="2189">
      <pivotArea field="0" dataOnly="0" labelOnly="1" grandRow="1" outline="0" axis="axisRow" fieldPosition="0">
        <references count="1">
          <reference field="4294967294" count="1" selected="0">
            <x v="13"/>
          </reference>
        </references>
      </pivotArea>
    </format>
    <format dxfId="2188">
      <pivotArea field="0" dataOnly="0" labelOnly="1" grandRow="1" outline="0" axis="axisRow" fieldPosition="0">
        <references count="1">
          <reference field="4294967294" count="1" selected="0">
            <x v="14"/>
          </reference>
        </references>
      </pivotArea>
    </format>
    <format dxfId="2187">
      <pivotArea field="0" dataOnly="0" labelOnly="1" grandRow="1" outline="0" axis="axisRow" fieldPosition="0">
        <references count="1">
          <reference field="4294967294" count="1" selected="0">
            <x v="15"/>
          </reference>
        </references>
      </pivotArea>
    </format>
    <format dxfId="2186">
      <pivotArea field="0" dataOnly="0" labelOnly="1" grandRow="1" outline="0" axis="axisRow" fieldPosition="0">
        <references count="1">
          <reference field="4294967294" count="1" selected="0">
            <x v="16"/>
          </reference>
        </references>
      </pivotArea>
    </format>
    <format dxfId="2185">
      <pivotArea field="0" dataOnly="0" labelOnly="1" grandRow="1" outline="0" axis="axisRow" fieldPosition="0">
        <references count="1">
          <reference field="4294967294" count="1" selected="0">
            <x v="17"/>
          </reference>
        </references>
      </pivotArea>
    </format>
    <format dxfId="2184">
      <pivotArea field="0" dataOnly="0" labelOnly="1" grandRow="1" outline="0" axis="axisRow" fieldPosition="0">
        <references count="1">
          <reference field="4294967294" count="1" selected="0">
            <x v="18"/>
          </reference>
        </references>
      </pivotArea>
    </format>
    <format dxfId="2183">
      <pivotArea field="0" dataOnly="0" labelOnly="1" grandRow="1" outline="0" axis="axisRow" fieldPosition="0">
        <references count="1">
          <reference field="4294967294" count="1" selected="0">
            <x v="19"/>
          </reference>
        </references>
      </pivotArea>
    </format>
    <format dxfId="2182">
      <pivotArea field="0" dataOnly="0" labelOnly="1" grandRow="1" outline="0" axis="axisRow" fieldPosition="0">
        <references count="1">
          <reference field="4294967294" count="1" selected="0">
            <x v="20"/>
          </reference>
        </references>
      </pivotArea>
    </format>
    <format dxfId="2181">
      <pivotArea field="0" dataOnly="0" labelOnly="1" grandRow="1" outline="0" axis="axisRow" fieldPosition="0">
        <references count="1">
          <reference field="4294967294" count="1" selected="0">
            <x v="21"/>
          </reference>
        </references>
      </pivotArea>
    </format>
    <format dxfId="2180">
      <pivotArea field="0" dataOnly="0" labelOnly="1" grandRow="1" outline="0" axis="axisRow" fieldPosition="0">
        <references count="1">
          <reference field="4294967294" count="1" selected="0">
            <x v="22"/>
          </reference>
        </references>
      </pivotArea>
    </format>
    <format dxfId="2179">
      <pivotArea field="0" dataOnly="0" labelOnly="1" grandRow="1" outline="0" axis="axisRow" fieldPosition="0">
        <references count="1">
          <reference field="4294967294" count="1" selected="0">
            <x v="23"/>
          </reference>
        </references>
      </pivotArea>
    </format>
    <format dxfId="2178">
      <pivotArea field="0" dataOnly="0" labelOnly="1" grandRow="1" outline="0" axis="axisRow" fieldPosition="0">
        <references count="1">
          <reference field="4294967294" count="1" selected="0">
            <x v="24"/>
          </reference>
        </references>
      </pivotArea>
    </format>
    <format dxfId="2177">
      <pivotArea field="0" dataOnly="0" labelOnly="1" grandRow="1" outline="0" axis="axisRow" fieldPosition="0">
        <references count="1">
          <reference field="4294967294" count="1" selected="0">
            <x v="25"/>
          </reference>
        </references>
      </pivotArea>
    </format>
    <format dxfId="2176">
      <pivotArea field="0" dataOnly="0" labelOnly="1" grandRow="1" outline="0" axis="axisRow" fieldPosition="0">
        <references count="1">
          <reference field="4294967294" count="1" selected="0">
            <x v="26"/>
          </reference>
        </references>
      </pivotArea>
    </format>
    <format dxfId="2175">
      <pivotArea field="0" dataOnly="0" labelOnly="1" grandRow="1" outline="0" axis="axisRow" fieldPosition="0">
        <references count="1">
          <reference field="4294967294" count="1" selected="0">
            <x v="27"/>
          </reference>
        </references>
      </pivotArea>
    </format>
    <format dxfId="2174">
      <pivotArea field="0" dataOnly="0" labelOnly="1" grandRow="1" outline="0" axis="axisRow" fieldPosition="0">
        <references count="1">
          <reference field="4294967294" count="1" selected="0">
            <x v="28"/>
          </reference>
        </references>
      </pivotArea>
    </format>
    <format dxfId="2173">
      <pivotArea field="0" dataOnly="0" labelOnly="1" grandRow="1" outline="0" axis="axisRow" fieldPosition="0">
        <references count="1">
          <reference field="4294967294" count="1" selected="0">
            <x v="29"/>
          </reference>
        </references>
      </pivotArea>
    </format>
    <format dxfId="2172">
      <pivotArea field="0" dataOnly="0" labelOnly="1" grandRow="1" outline="0" axis="axisRow" fieldPosition="0">
        <references count="1">
          <reference field="4294967294" count="1" selected="0">
            <x v="30"/>
          </reference>
        </references>
      </pivotArea>
    </format>
    <format dxfId="2171">
      <pivotArea field="0" dataOnly="0" labelOnly="1" grandRow="1" outline="0" axis="axisRow" fieldPosition="0">
        <references count="1">
          <reference field="4294967294" count="1" selected="0">
            <x v="31"/>
          </reference>
        </references>
      </pivotArea>
    </format>
    <format dxfId="2170">
      <pivotArea field="0" dataOnly="0" labelOnly="1" grandRow="1" outline="0" axis="axisRow" fieldPosition="0">
        <references count="1">
          <reference field="4294967294" count="1" selected="0">
            <x v="32"/>
          </reference>
        </references>
      </pivotArea>
    </format>
    <format dxfId="2169">
      <pivotArea field="0" dataOnly="0" labelOnly="1" grandRow="1" outline="0" axis="axisRow" fieldPosition="0">
        <references count="1">
          <reference field="4294967294" count="1" selected="0">
            <x v="33"/>
          </reference>
        </references>
      </pivotArea>
    </format>
    <format dxfId="2168">
      <pivotArea field="0" dataOnly="0" labelOnly="1" grandRow="1" outline="0" axis="axisRow" fieldPosition="0">
        <references count="1">
          <reference field="4294967294" count="1" selected="0">
            <x v="34"/>
          </reference>
        </references>
      </pivotArea>
    </format>
    <format dxfId="2167">
      <pivotArea field="0" dataOnly="0" labelOnly="1" grandRow="1" outline="0" axis="axisRow" fieldPosition="0">
        <references count="1">
          <reference field="4294967294" count="1" selected="0">
            <x v="35"/>
          </reference>
        </references>
      </pivotArea>
    </format>
    <format dxfId="2166">
      <pivotArea field="0" dataOnly="0" labelOnly="1" grandRow="1" outline="0" axis="axisRow" fieldPosition="0">
        <references count="1">
          <reference field="4294967294" count="1" selected="0">
            <x v="0"/>
          </reference>
        </references>
      </pivotArea>
    </format>
    <format dxfId="2165">
      <pivotArea field="0" dataOnly="0" labelOnly="1" grandRow="1" outline="0" axis="axisRow" fieldPosition="0">
        <references count="1">
          <reference field="4294967294" count="1" selected="0">
            <x v="1"/>
          </reference>
        </references>
      </pivotArea>
    </format>
    <format dxfId="2164">
      <pivotArea field="0" dataOnly="0" labelOnly="1" grandRow="1" outline="0" axis="axisRow" fieldPosition="0">
        <references count="1">
          <reference field="4294967294" count="1" selected="0">
            <x v="2"/>
          </reference>
        </references>
      </pivotArea>
    </format>
    <format dxfId="2163">
      <pivotArea field="0" dataOnly="0" labelOnly="1" grandRow="1" outline="0" axis="axisRow" fieldPosition="0">
        <references count="1">
          <reference field="4294967294" count="1" selected="0">
            <x v="3"/>
          </reference>
        </references>
      </pivotArea>
    </format>
    <format dxfId="2162">
      <pivotArea field="0" dataOnly="0" labelOnly="1" grandRow="1" outline="0" axis="axisRow" fieldPosition="0">
        <references count="1">
          <reference field="4294967294" count="1" selected="0">
            <x v="4"/>
          </reference>
        </references>
      </pivotArea>
    </format>
    <format dxfId="2161">
      <pivotArea field="0" dataOnly="0" labelOnly="1" grandRow="1" outline="0" axis="axisRow" fieldPosition="0">
        <references count="1">
          <reference field="4294967294" count="1" selected="0">
            <x v="5"/>
          </reference>
        </references>
      </pivotArea>
    </format>
    <format dxfId="2160">
      <pivotArea field="0" dataOnly="0" labelOnly="1" grandRow="1" outline="0" axis="axisRow" fieldPosition="0">
        <references count="1">
          <reference field="4294967294" count="1" selected="0">
            <x v="6"/>
          </reference>
        </references>
      </pivotArea>
    </format>
    <format dxfId="2159">
      <pivotArea field="0" dataOnly="0" labelOnly="1" grandRow="1" outline="0" axis="axisRow" fieldPosition="0">
        <references count="1">
          <reference field="4294967294" count="1" selected="0">
            <x v="7"/>
          </reference>
        </references>
      </pivotArea>
    </format>
    <format dxfId="2158">
      <pivotArea field="0" dataOnly="0" labelOnly="1" grandRow="1" outline="0" axis="axisRow" fieldPosition="0">
        <references count="1">
          <reference field="4294967294" count="1" selected="0">
            <x v="8"/>
          </reference>
        </references>
      </pivotArea>
    </format>
    <format dxfId="2157">
      <pivotArea field="0" dataOnly="0" labelOnly="1" grandRow="1" outline="0" axis="axisRow" fieldPosition="0">
        <references count="1">
          <reference field="4294967294" count="1" selected="0">
            <x v="9"/>
          </reference>
        </references>
      </pivotArea>
    </format>
    <format dxfId="2156">
      <pivotArea field="0" dataOnly="0" labelOnly="1" grandRow="1" outline="0" axis="axisRow" fieldPosition="0">
        <references count="1">
          <reference field="4294967294" count="1" selected="0">
            <x v="10"/>
          </reference>
        </references>
      </pivotArea>
    </format>
    <format dxfId="2155">
      <pivotArea field="0" dataOnly="0" labelOnly="1" grandRow="1" outline="0" axis="axisRow" fieldPosition="0">
        <references count="1">
          <reference field="4294967294" count="1" selected="0">
            <x v="11"/>
          </reference>
        </references>
      </pivotArea>
    </format>
    <format dxfId="2154">
      <pivotArea field="0" dataOnly="0" labelOnly="1" grandRow="1" outline="0" axis="axisRow" fieldPosition="0">
        <references count="1">
          <reference field="4294967294" count="1" selected="0">
            <x v="12"/>
          </reference>
        </references>
      </pivotArea>
    </format>
    <format dxfId="2153">
      <pivotArea field="0" dataOnly="0" labelOnly="1" grandRow="1" outline="0" axis="axisRow" fieldPosition="0">
        <references count="1">
          <reference field="4294967294" count="1" selected="0">
            <x v="13"/>
          </reference>
        </references>
      </pivotArea>
    </format>
    <format dxfId="2152">
      <pivotArea field="0" dataOnly="0" labelOnly="1" grandRow="1" outline="0" axis="axisRow" fieldPosition="0">
        <references count="1">
          <reference field="4294967294" count="1" selected="0">
            <x v="14"/>
          </reference>
        </references>
      </pivotArea>
    </format>
    <format dxfId="2151">
      <pivotArea field="0" dataOnly="0" labelOnly="1" grandRow="1" outline="0" axis="axisRow" fieldPosition="0">
        <references count="1">
          <reference field="4294967294" count="1" selected="0">
            <x v="15"/>
          </reference>
        </references>
      </pivotArea>
    </format>
    <format dxfId="2150">
      <pivotArea field="0" dataOnly="0" labelOnly="1" grandRow="1" outline="0" axis="axisRow" fieldPosition="0">
        <references count="1">
          <reference field="4294967294" count="1" selected="0">
            <x v="16"/>
          </reference>
        </references>
      </pivotArea>
    </format>
    <format dxfId="2149">
      <pivotArea field="0" dataOnly="0" labelOnly="1" grandRow="1" outline="0" axis="axisRow" fieldPosition="0">
        <references count="1">
          <reference field="4294967294" count="1" selected="0">
            <x v="17"/>
          </reference>
        </references>
      </pivotArea>
    </format>
    <format dxfId="2148">
      <pivotArea field="0" dataOnly="0" labelOnly="1" grandRow="1" outline="0" axis="axisRow" fieldPosition="0">
        <references count="1">
          <reference field="4294967294" count="1" selected="0">
            <x v="18"/>
          </reference>
        </references>
      </pivotArea>
    </format>
    <format dxfId="2147">
      <pivotArea field="0" dataOnly="0" labelOnly="1" grandRow="1" outline="0" axis="axisRow" fieldPosition="0">
        <references count="1">
          <reference field="4294967294" count="1" selected="0">
            <x v="19"/>
          </reference>
        </references>
      </pivotArea>
    </format>
    <format dxfId="2146">
      <pivotArea field="0" dataOnly="0" labelOnly="1" grandRow="1" outline="0" axis="axisRow" fieldPosition="0">
        <references count="1">
          <reference field="4294967294" count="1" selected="0">
            <x v="20"/>
          </reference>
        </references>
      </pivotArea>
    </format>
    <format dxfId="2145">
      <pivotArea field="0" dataOnly="0" labelOnly="1" grandRow="1" outline="0" axis="axisRow" fieldPosition="0">
        <references count="1">
          <reference field="4294967294" count="1" selected="0">
            <x v="21"/>
          </reference>
        </references>
      </pivotArea>
    </format>
    <format dxfId="2144">
      <pivotArea field="0" dataOnly="0" labelOnly="1" grandRow="1" outline="0" axis="axisRow" fieldPosition="0">
        <references count="1">
          <reference field="4294967294" count="1" selected="0">
            <x v="22"/>
          </reference>
        </references>
      </pivotArea>
    </format>
    <format dxfId="2143">
      <pivotArea field="0" dataOnly="0" labelOnly="1" grandRow="1" outline="0" axis="axisRow" fieldPosition="0">
        <references count="1">
          <reference field="4294967294" count="1" selected="0">
            <x v="23"/>
          </reference>
        </references>
      </pivotArea>
    </format>
    <format dxfId="2142">
      <pivotArea field="0" dataOnly="0" labelOnly="1" grandRow="1" outline="0" axis="axisRow" fieldPosition="0">
        <references count="1">
          <reference field="4294967294" count="1" selected="0">
            <x v="24"/>
          </reference>
        </references>
      </pivotArea>
    </format>
    <format dxfId="2141">
      <pivotArea field="0" dataOnly="0" labelOnly="1" grandRow="1" outline="0" axis="axisRow" fieldPosition="0">
        <references count="1">
          <reference field="4294967294" count="1" selected="0">
            <x v="25"/>
          </reference>
        </references>
      </pivotArea>
    </format>
    <format dxfId="2140">
      <pivotArea field="0" dataOnly="0" labelOnly="1" grandRow="1" outline="0" axis="axisRow" fieldPosition="0">
        <references count="1">
          <reference field="4294967294" count="1" selected="0">
            <x v="26"/>
          </reference>
        </references>
      </pivotArea>
    </format>
    <format dxfId="2139">
      <pivotArea field="0" dataOnly="0" labelOnly="1" grandRow="1" outline="0" axis="axisRow" fieldPosition="0">
        <references count="1">
          <reference field="4294967294" count="1" selected="0">
            <x v="27"/>
          </reference>
        </references>
      </pivotArea>
    </format>
    <format dxfId="2138">
      <pivotArea field="0" dataOnly="0" labelOnly="1" grandRow="1" outline="0" axis="axisRow" fieldPosition="0">
        <references count="1">
          <reference field="4294967294" count="1" selected="0">
            <x v="28"/>
          </reference>
        </references>
      </pivotArea>
    </format>
    <format dxfId="2137">
      <pivotArea field="0" dataOnly="0" labelOnly="1" grandRow="1" outline="0" axis="axisRow" fieldPosition="0">
        <references count="1">
          <reference field="4294967294" count="1" selected="0">
            <x v="29"/>
          </reference>
        </references>
      </pivotArea>
    </format>
    <format dxfId="2136">
      <pivotArea field="0" dataOnly="0" labelOnly="1" grandRow="1" outline="0" axis="axisRow" fieldPosition="0">
        <references count="1">
          <reference field="4294967294" count="1" selected="0">
            <x v="30"/>
          </reference>
        </references>
      </pivotArea>
    </format>
    <format dxfId="2135">
      <pivotArea field="0" dataOnly="0" labelOnly="1" grandRow="1" outline="0" axis="axisRow" fieldPosition="0">
        <references count="1">
          <reference field="4294967294" count="1" selected="0">
            <x v="31"/>
          </reference>
        </references>
      </pivotArea>
    </format>
    <format dxfId="2134">
      <pivotArea field="0" dataOnly="0" labelOnly="1" grandRow="1" outline="0" axis="axisRow" fieldPosition="0">
        <references count="1">
          <reference field="4294967294" count="1" selected="0">
            <x v="32"/>
          </reference>
        </references>
      </pivotArea>
    </format>
    <format dxfId="2133">
      <pivotArea field="0" dataOnly="0" labelOnly="1" grandRow="1" outline="0" axis="axisRow" fieldPosition="0">
        <references count="1">
          <reference field="4294967294" count="1" selected="0">
            <x v="33"/>
          </reference>
        </references>
      </pivotArea>
    </format>
    <format dxfId="2132">
      <pivotArea field="0" dataOnly="0" labelOnly="1" grandRow="1" outline="0" axis="axisRow" fieldPosition="0">
        <references count="1">
          <reference field="4294967294" count="1" selected="0">
            <x v="34"/>
          </reference>
        </references>
      </pivotArea>
    </format>
    <format dxfId="2131">
      <pivotArea field="0" dataOnly="0" labelOnly="1" grandRow="1" outline="0" axis="axisRow" fieldPosition="0">
        <references count="1">
          <reference field="4294967294" count="1" selected="0">
            <x v="35"/>
          </reference>
        </references>
      </pivotArea>
    </format>
    <format dxfId="2130">
      <pivotArea field="0" dataOnly="0" labelOnly="1" grandRow="1" outline="0" axis="axisRow" fieldPosition="0">
        <references count="1">
          <reference field="4294967294" count="1" selected="0">
            <x v="0"/>
          </reference>
        </references>
      </pivotArea>
    </format>
    <format dxfId="2129">
      <pivotArea field="0" dataOnly="0" labelOnly="1" grandRow="1" outline="0" axis="axisRow" fieldPosition="0">
        <references count="1">
          <reference field="4294967294" count="1" selected="0">
            <x v="1"/>
          </reference>
        </references>
      </pivotArea>
    </format>
    <format dxfId="2128">
      <pivotArea field="0" dataOnly="0" labelOnly="1" grandRow="1" outline="0" axis="axisRow" fieldPosition="0">
        <references count="1">
          <reference field="4294967294" count="1" selected="0">
            <x v="2"/>
          </reference>
        </references>
      </pivotArea>
    </format>
    <format dxfId="2127">
      <pivotArea field="0" dataOnly="0" labelOnly="1" grandRow="1" outline="0" axis="axisRow" fieldPosition="0">
        <references count="1">
          <reference field="4294967294" count="1" selected="0">
            <x v="3"/>
          </reference>
        </references>
      </pivotArea>
    </format>
    <format dxfId="2126">
      <pivotArea field="0" dataOnly="0" labelOnly="1" grandRow="1" outline="0" axis="axisRow" fieldPosition="0">
        <references count="1">
          <reference field="4294967294" count="1" selected="0">
            <x v="4"/>
          </reference>
        </references>
      </pivotArea>
    </format>
    <format dxfId="2125">
      <pivotArea field="0" dataOnly="0" labelOnly="1" grandRow="1" outline="0" axis="axisRow" fieldPosition="0">
        <references count="1">
          <reference field="4294967294" count="1" selected="0">
            <x v="5"/>
          </reference>
        </references>
      </pivotArea>
    </format>
    <format dxfId="2124">
      <pivotArea field="0" dataOnly="0" labelOnly="1" grandRow="1" outline="0" axis="axisRow" fieldPosition="0">
        <references count="1">
          <reference field="4294967294" count="1" selected="0">
            <x v="6"/>
          </reference>
        </references>
      </pivotArea>
    </format>
    <format dxfId="2123">
      <pivotArea field="0" dataOnly="0" labelOnly="1" grandRow="1" outline="0" axis="axisRow" fieldPosition="0">
        <references count="1">
          <reference field="4294967294" count="1" selected="0">
            <x v="7"/>
          </reference>
        </references>
      </pivotArea>
    </format>
    <format dxfId="2122">
      <pivotArea field="0" dataOnly="0" labelOnly="1" grandRow="1" outline="0" axis="axisRow" fieldPosition="0">
        <references count="1">
          <reference field="4294967294" count="1" selected="0">
            <x v="8"/>
          </reference>
        </references>
      </pivotArea>
    </format>
    <format dxfId="2121">
      <pivotArea field="0" dataOnly="0" labelOnly="1" grandRow="1" outline="0" axis="axisRow" fieldPosition="0">
        <references count="1">
          <reference field="4294967294" count="1" selected="0">
            <x v="9"/>
          </reference>
        </references>
      </pivotArea>
    </format>
    <format dxfId="2120">
      <pivotArea field="0" dataOnly="0" labelOnly="1" grandRow="1" outline="0" axis="axisRow" fieldPosition="0">
        <references count="1">
          <reference field="4294967294" count="1" selected="0">
            <x v="10"/>
          </reference>
        </references>
      </pivotArea>
    </format>
    <format dxfId="2119">
      <pivotArea field="0" dataOnly="0" labelOnly="1" grandRow="1" outline="0" axis="axisRow" fieldPosition="0">
        <references count="1">
          <reference field="4294967294" count="1" selected="0">
            <x v="11"/>
          </reference>
        </references>
      </pivotArea>
    </format>
    <format dxfId="2118">
      <pivotArea field="0" dataOnly="0" labelOnly="1" grandRow="1" outline="0" axis="axisRow" fieldPosition="0">
        <references count="1">
          <reference field="4294967294" count="1" selected="0">
            <x v="12"/>
          </reference>
        </references>
      </pivotArea>
    </format>
    <format dxfId="2117">
      <pivotArea field="0" dataOnly="0" labelOnly="1" grandRow="1" outline="0" axis="axisRow" fieldPosition="0">
        <references count="1">
          <reference field="4294967294" count="1" selected="0">
            <x v="13"/>
          </reference>
        </references>
      </pivotArea>
    </format>
    <format dxfId="2116">
      <pivotArea field="0" dataOnly="0" labelOnly="1" grandRow="1" outline="0" axis="axisRow" fieldPosition="0">
        <references count="1">
          <reference field="4294967294" count="1" selected="0">
            <x v="14"/>
          </reference>
        </references>
      </pivotArea>
    </format>
    <format dxfId="2115">
      <pivotArea field="0" dataOnly="0" labelOnly="1" grandRow="1" outline="0" axis="axisRow" fieldPosition="0">
        <references count="1">
          <reference field="4294967294" count="1" selected="0">
            <x v="15"/>
          </reference>
        </references>
      </pivotArea>
    </format>
    <format dxfId="2114">
      <pivotArea field="0" dataOnly="0" labelOnly="1" grandRow="1" outline="0" axis="axisRow" fieldPosition="0">
        <references count="1">
          <reference field="4294967294" count="1" selected="0">
            <x v="16"/>
          </reference>
        </references>
      </pivotArea>
    </format>
    <format dxfId="2113">
      <pivotArea field="0" dataOnly="0" labelOnly="1" grandRow="1" outline="0" axis="axisRow" fieldPosition="0">
        <references count="1">
          <reference field="4294967294" count="1" selected="0">
            <x v="17"/>
          </reference>
        </references>
      </pivotArea>
    </format>
    <format dxfId="2112">
      <pivotArea field="0" dataOnly="0" labelOnly="1" grandRow="1" outline="0" axis="axisRow" fieldPosition="0">
        <references count="1">
          <reference field="4294967294" count="1" selected="0">
            <x v="18"/>
          </reference>
        </references>
      </pivotArea>
    </format>
    <format dxfId="2111">
      <pivotArea field="0" dataOnly="0" labelOnly="1" grandRow="1" outline="0" axis="axisRow" fieldPosition="0">
        <references count="1">
          <reference field="4294967294" count="1" selected="0">
            <x v="19"/>
          </reference>
        </references>
      </pivotArea>
    </format>
    <format dxfId="2110">
      <pivotArea field="0" dataOnly="0" labelOnly="1" grandRow="1" outline="0" axis="axisRow" fieldPosition="0">
        <references count="1">
          <reference field="4294967294" count="1" selected="0">
            <x v="20"/>
          </reference>
        </references>
      </pivotArea>
    </format>
    <format dxfId="2109">
      <pivotArea field="0" dataOnly="0" labelOnly="1" grandRow="1" outline="0" axis="axisRow" fieldPosition="0">
        <references count="1">
          <reference field="4294967294" count="1" selected="0">
            <x v="21"/>
          </reference>
        </references>
      </pivotArea>
    </format>
    <format dxfId="2108">
      <pivotArea field="0" dataOnly="0" labelOnly="1" grandRow="1" outline="0" axis="axisRow" fieldPosition="0">
        <references count="1">
          <reference field="4294967294" count="1" selected="0">
            <x v="22"/>
          </reference>
        </references>
      </pivotArea>
    </format>
    <format dxfId="2107">
      <pivotArea field="0" dataOnly="0" labelOnly="1" grandRow="1" outline="0" axis="axisRow" fieldPosition="0">
        <references count="1">
          <reference field="4294967294" count="1" selected="0">
            <x v="23"/>
          </reference>
        </references>
      </pivotArea>
    </format>
    <format dxfId="2106">
      <pivotArea field="0" dataOnly="0" labelOnly="1" grandRow="1" outline="0" axis="axisRow" fieldPosition="0">
        <references count="1">
          <reference field="4294967294" count="1" selected="0">
            <x v="24"/>
          </reference>
        </references>
      </pivotArea>
    </format>
    <format dxfId="2105">
      <pivotArea field="0" dataOnly="0" labelOnly="1" grandRow="1" outline="0" axis="axisRow" fieldPosition="0">
        <references count="1">
          <reference field="4294967294" count="1" selected="0">
            <x v="25"/>
          </reference>
        </references>
      </pivotArea>
    </format>
    <format dxfId="2104">
      <pivotArea field="0" dataOnly="0" labelOnly="1" grandRow="1" outline="0" axis="axisRow" fieldPosition="0">
        <references count="1">
          <reference field="4294967294" count="1" selected="0">
            <x v="26"/>
          </reference>
        </references>
      </pivotArea>
    </format>
    <format dxfId="2103">
      <pivotArea field="0" dataOnly="0" labelOnly="1" grandRow="1" outline="0" axis="axisRow" fieldPosition="0">
        <references count="1">
          <reference field="4294967294" count="1" selected="0">
            <x v="27"/>
          </reference>
        </references>
      </pivotArea>
    </format>
    <format dxfId="2102">
      <pivotArea field="0" dataOnly="0" labelOnly="1" grandRow="1" outline="0" axis="axisRow" fieldPosition="0">
        <references count="1">
          <reference field="4294967294" count="1" selected="0">
            <x v="28"/>
          </reference>
        </references>
      </pivotArea>
    </format>
    <format dxfId="2101">
      <pivotArea field="0" dataOnly="0" labelOnly="1" grandRow="1" outline="0" axis="axisRow" fieldPosition="0">
        <references count="1">
          <reference field="4294967294" count="1" selected="0">
            <x v="29"/>
          </reference>
        </references>
      </pivotArea>
    </format>
    <format dxfId="2100">
      <pivotArea field="0" dataOnly="0" labelOnly="1" grandRow="1" outline="0" axis="axisRow" fieldPosition="0">
        <references count="1">
          <reference field="4294967294" count="1" selected="0">
            <x v="30"/>
          </reference>
        </references>
      </pivotArea>
    </format>
    <format dxfId="2099">
      <pivotArea field="0" dataOnly="0" labelOnly="1" grandRow="1" outline="0" axis="axisRow" fieldPosition="0">
        <references count="1">
          <reference field="4294967294" count="1" selected="0">
            <x v="31"/>
          </reference>
        </references>
      </pivotArea>
    </format>
    <format dxfId="2098">
      <pivotArea field="0" dataOnly="0" labelOnly="1" grandRow="1" outline="0" axis="axisRow" fieldPosition="0">
        <references count="1">
          <reference field="4294967294" count="1" selected="0">
            <x v="32"/>
          </reference>
        </references>
      </pivotArea>
    </format>
    <format dxfId="2097">
      <pivotArea field="0" dataOnly="0" labelOnly="1" grandRow="1" outline="0" axis="axisRow" fieldPosition="0">
        <references count="1">
          <reference field="4294967294" count="1" selected="0">
            <x v="33"/>
          </reference>
        </references>
      </pivotArea>
    </format>
    <format dxfId="2096">
      <pivotArea field="0" dataOnly="0" labelOnly="1" grandRow="1" outline="0" axis="axisRow" fieldPosition="0">
        <references count="1">
          <reference field="4294967294" count="1" selected="0">
            <x v="34"/>
          </reference>
        </references>
      </pivotArea>
    </format>
    <format dxfId="2095">
      <pivotArea field="0" dataOnly="0" labelOnly="1" grandRow="1" outline="0" axis="axisRow" fieldPosition="0">
        <references count="1">
          <reference field="4294967294" count="1" selected="0">
            <x v="35"/>
          </reference>
        </references>
      </pivotArea>
    </format>
    <format dxfId="2094">
      <pivotArea field="0" dataOnly="0" labelOnly="1" grandRow="1" outline="0" axis="axisRow" fieldPosition="0">
        <references count="1">
          <reference field="4294967294" count="1" selected="0">
            <x v="0"/>
          </reference>
        </references>
      </pivotArea>
    </format>
    <format dxfId="2093">
      <pivotArea field="0" dataOnly="0" labelOnly="1" grandRow="1" outline="0" axis="axisRow" fieldPosition="0">
        <references count="1">
          <reference field="4294967294" count="1" selected="0">
            <x v="1"/>
          </reference>
        </references>
      </pivotArea>
    </format>
    <format dxfId="2092">
      <pivotArea field="0" dataOnly="0" labelOnly="1" grandRow="1" outline="0" axis="axisRow" fieldPosition="0">
        <references count="1">
          <reference field="4294967294" count="1" selected="0">
            <x v="2"/>
          </reference>
        </references>
      </pivotArea>
    </format>
    <format dxfId="2091">
      <pivotArea field="0" dataOnly="0" labelOnly="1" grandRow="1" outline="0" axis="axisRow" fieldPosition="0">
        <references count="1">
          <reference field="4294967294" count="1" selected="0">
            <x v="3"/>
          </reference>
        </references>
      </pivotArea>
    </format>
    <format dxfId="2090">
      <pivotArea field="0" dataOnly="0" labelOnly="1" grandRow="1" outline="0" axis="axisRow" fieldPosition="0">
        <references count="1">
          <reference field="4294967294" count="1" selected="0">
            <x v="4"/>
          </reference>
        </references>
      </pivotArea>
    </format>
    <format dxfId="2089">
      <pivotArea field="0" dataOnly="0" labelOnly="1" grandRow="1" outline="0" axis="axisRow" fieldPosition="0">
        <references count="1">
          <reference field="4294967294" count="1" selected="0">
            <x v="5"/>
          </reference>
        </references>
      </pivotArea>
    </format>
    <format dxfId="2088">
      <pivotArea field="0" dataOnly="0" labelOnly="1" grandRow="1" outline="0" axis="axisRow" fieldPosition="0">
        <references count="1">
          <reference field="4294967294" count="1" selected="0">
            <x v="6"/>
          </reference>
        </references>
      </pivotArea>
    </format>
    <format dxfId="2087">
      <pivotArea field="0" dataOnly="0" labelOnly="1" grandRow="1" outline="0" axis="axisRow" fieldPosition="0">
        <references count="1">
          <reference field="4294967294" count="1" selected="0">
            <x v="7"/>
          </reference>
        </references>
      </pivotArea>
    </format>
    <format dxfId="2086">
      <pivotArea field="0" dataOnly="0" labelOnly="1" grandRow="1" outline="0" axis="axisRow" fieldPosition="0">
        <references count="1">
          <reference field="4294967294" count="1" selected="0">
            <x v="8"/>
          </reference>
        </references>
      </pivotArea>
    </format>
    <format dxfId="2085">
      <pivotArea field="0" dataOnly="0" labelOnly="1" grandRow="1" outline="0" axis="axisRow" fieldPosition="0">
        <references count="1">
          <reference field="4294967294" count="1" selected="0">
            <x v="9"/>
          </reference>
        </references>
      </pivotArea>
    </format>
    <format dxfId="2084">
      <pivotArea field="0" dataOnly="0" labelOnly="1" grandRow="1" outline="0" axis="axisRow" fieldPosition="0">
        <references count="1">
          <reference field="4294967294" count="1" selected="0">
            <x v="10"/>
          </reference>
        </references>
      </pivotArea>
    </format>
    <format dxfId="2083">
      <pivotArea field="0" dataOnly="0" labelOnly="1" grandRow="1" outline="0" axis="axisRow" fieldPosition="0">
        <references count="1">
          <reference field="4294967294" count="1" selected="0">
            <x v="11"/>
          </reference>
        </references>
      </pivotArea>
    </format>
    <format dxfId="2082">
      <pivotArea field="0" dataOnly="0" labelOnly="1" grandRow="1" outline="0" axis="axisRow" fieldPosition="0">
        <references count="1">
          <reference field="4294967294" count="1" selected="0">
            <x v="12"/>
          </reference>
        </references>
      </pivotArea>
    </format>
    <format dxfId="2081">
      <pivotArea field="0" dataOnly="0" labelOnly="1" grandRow="1" outline="0" axis="axisRow" fieldPosition="0">
        <references count="1">
          <reference field="4294967294" count="1" selected="0">
            <x v="13"/>
          </reference>
        </references>
      </pivotArea>
    </format>
    <format dxfId="2080">
      <pivotArea field="0" dataOnly="0" labelOnly="1" grandRow="1" outline="0" axis="axisRow" fieldPosition="0">
        <references count="1">
          <reference field="4294967294" count="1" selected="0">
            <x v="14"/>
          </reference>
        </references>
      </pivotArea>
    </format>
    <format dxfId="2079">
      <pivotArea field="0" dataOnly="0" labelOnly="1" grandRow="1" outline="0" axis="axisRow" fieldPosition="0">
        <references count="1">
          <reference field="4294967294" count="1" selected="0">
            <x v="15"/>
          </reference>
        </references>
      </pivotArea>
    </format>
    <format dxfId="2078">
      <pivotArea field="0" dataOnly="0" labelOnly="1" grandRow="1" outline="0" axis="axisRow" fieldPosition="0">
        <references count="1">
          <reference field="4294967294" count="1" selected="0">
            <x v="16"/>
          </reference>
        </references>
      </pivotArea>
    </format>
    <format dxfId="2077">
      <pivotArea field="0" dataOnly="0" labelOnly="1" grandRow="1" outline="0" axis="axisRow" fieldPosition="0">
        <references count="1">
          <reference field="4294967294" count="1" selected="0">
            <x v="17"/>
          </reference>
        </references>
      </pivotArea>
    </format>
    <format dxfId="2076">
      <pivotArea field="0" dataOnly="0" labelOnly="1" grandRow="1" outline="0" axis="axisRow" fieldPosition="0">
        <references count="1">
          <reference field="4294967294" count="1" selected="0">
            <x v="18"/>
          </reference>
        </references>
      </pivotArea>
    </format>
    <format dxfId="2075">
      <pivotArea field="0" dataOnly="0" labelOnly="1" grandRow="1" outline="0" axis="axisRow" fieldPosition="0">
        <references count="1">
          <reference field="4294967294" count="1" selected="0">
            <x v="19"/>
          </reference>
        </references>
      </pivotArea>
    </format>
    <format dxfId="2074">
      <pivotArea field="0" dataOnly="0" labelOnly="1" grandRow="1" outline="0" axis="axisRow" fieldPosition="0">
        <references count="1">
          <reference field="4294967294" count="1" selected="0">
            <x v="20"/>
          </reference>
        </references>
      </pivotArea>
    </format>
    <format dxfId="2073">
      <pivotArea field="0" dataOnly="0" labelOnly="1" grandRow="1" outline="0" axis="axisRow" fieldPosition="0">
        <references count="1">
          <reference field="4294967294" count="1" selected="0">
            <x v="21"/>
          </reference>
        </references>
      </pivotArea>
    </format>
    <format dxfId="2072">
      <pivotArea field="0" dataOnly="0" labelOnly="1" grandRow="1" outline="0" axis="axisRow" fieldPosition="0">
        <references count="1">
          <reference field="4294967294" count="1" selected="0">
            <x v="22"/>
          </reference>
        </references>
      </pivotArea>
    </format>
    <format dxfId="2071">
      <pivotArea field="0" dataOnly="0" labelOnly="1" grandRow="1" outline="0" axis="axisRow" fieldPosition="0">
        <references count="1">
          <reference field="4294967294" count="1" selected="0">
            <x v="23"/>
          </reference>
        </references>
      </pivotArea>
    </format>
    <format dxfId="2070">
      <pivotArea field="0" dataOnly="0" labelOnly="1" grandRow="1" outline="0" axis="axisRow" fieldPosition="0">
        <references count="1">
          <reference field="4294967294" count="1" selected="0">
            <x v="24"/>
          </reference>
        </references>
      </pivotArea>
    </format>
    <format dxfId="2069">
      <pivotArea field="0" dataOnly="0" labelOnly="1" grandRow="1" outline="0" axis="axisRow" fieldPosition="0">
        <references count="1">
          <reference field="4294967294" count="1" selected="0">
            <x v="25"/>
          </reference>
        </references>
      </pivotArea>
    </format>
    <format dxfId="2068">
      <pivotArea field="0" dataOnly="0" labelOnly="1" grandRow="1" outline="0" axis="axisRow" fieldPosition="0">
        <references count="1">
          <reference field="4294967294" count="1" selected="0">
            <x v="26"/>
          </reference>
        </references>
      </pivotArea>
    </format>
    <format dxfId="2067">
      <pivotArea field="0" dataOnly="0" labelOnly="1" grandRow="1" outline="0" axis="axisRow" fieldPosition="0">
        <references count="1">
          <reference field="4294967294" count="1" selected="0">
            <x v="27"/>
          </reference>
        </references>
      </pivotArea>
    </format>
    <format dxfId="2066">
      <pivotArea field="0" dataOnly="0" labelOnly="1" grandRow="1" outline="0" axis="axisRow" fieldPosition="0">
        <references count="1">
          <reference field="4294967294" count="1" selected="0">
            <x v="28"/>
          </reference>
        </references>
      </pivotArea>
    </format>
    <format dxfId="2065">
      <pivotArea field="0" dataOnly="0" labelOnly="1" grandRow="1" outline="0" axis="axisRow" fieldPosition="0">
        <references count="1">
          <reference field="4294967294" count="1" selected="0">
            <x v="29"/>
          </reference>
        </references>
      </pivotArea>
    </format>
    <format dxfId="2064">
      <pivotArea field="0" dataOnly="0" labelOnly="1" grandRow="1" outline="0" axis="axisRow" fieldPosition="0">
        <references count="1">
          <reference field="4294967294" count="1" selected="0">
            <x v="30"/>
          </reference>
        </references>
      </pivotArea>
    </format>
    <format dxfId="2063">
      <pivotArea field="0" dataOnly="0" labelOnly="1" grandRow="1" outline="0" axis="axisRow" fieldPosition="0">
        <references count="1">
          <reference field="4294967294" count="1" selected="0">
            <x v="31"/>
          </reference>
        </references>
      </pivotArea>
    </format>
    <format dxfId="2062">
      <pivotArea field="0" dataOnly="0" labelOnly="1" grandRow="1" outline="0" axis="axisRow" fieldPosition="0">
        <references count="1">
          <reference field="4294967294" count="1" selected="0">
            <x v="32"/>
          </reference>
        </references>
      </pivotArea>
    </format>
    <format dxfId="2061">
      <pivotArea field="0" dataOnly="0" labelOnly="1" grandRow="1" outline="0" axis="axisRow" fieldPosition="0">
        <references count="1">
          <reference field="4294967294" count="1" selected="0">
            <x v="33"/>
          </reference>
        </references>
      </pivotArea>
    </format>
    <format dxfId="2060">
      <pivotArea field="0" dataOnly="0" labelOnly="1" grandRow="1" outline="0" axis="axisRow" fieldPosition="0">
        <references count="1">
          <reference field="4294967294" count="1" selected="0">
            <x v="34"/>
          </reference>
        </references>
      </pivotArea>
    </format>
    <format dxfId="2059">
      <pivotArea field="0" dataOnly="0" labelOnly="1" grandRow="1" outline="0" axis="axisRow" fieldPosition="0">
        <references count="1">
          <reference field="4294967294" count="1" selected="0">
            <x v="35"/>
          </reference>
        </references>
      </pivotArea>
    </format>
    <format dxfId="2058">
      <pivotArea field="0" dataOnly="0" labelOnly="1" grandRow="1" outline="0" axis="axisRow" fieldPosition="0">
        <references count="1">
          <reference field="4294967294" count="1" selected="0">
            <x v="0"/>
          </reference>
        </references>
      </pivotArea>
    </format>
    <format dxfId="2057">
      <pivotArea field="0" dataOnly="0" labelOnly="1" grandRow="1" outline="0" axis="axisRow" fieldPosition="0">
        <references count="1">
          <reference field="4294967294" count="1" selected="0">
            <x v="1"/>
          </reference>
        </references>
      </pivotArea>
    </format>
    <format dxfId="2056">
      <pivotArea field="0" dataOnly="0" labelOnly="1" grandRow="1" outline="0" axis="axisRow" fieldPosition="0">
        <references count="1">
          <reference field="4294967294" count="1" selected="0">
            <x v="2"/>
          </reference>
        </references>
      </pivotArea>
    </format>
    <format dxfId="2055">
      <pivotArea field="0" dataOnly="0" labelOnly="1" grandRow="1" outline="0" axis="axisRow" fieldPosition="0">
        <references count="1">
          <reference field="4294967294" count="1" selected="0">
            <x v="3"/>
          </reference>
        </references>
      </pivotArea>
    </format>
    <format dxfId="2054">
      <pivotArea field="0" dataOnly="0" labelOnly="1" grandRow="1" outline="0" axis="axisRow" fieldPosition="0">
        <references count="1">
          <reference field="4294967294" count="1" selected="0">
            <x v="4"/>
          </reference>
        </references>
      </pivotArea>
    </format>
    <format dxfId="2053">
      <pivotArea field="0" dataOnly="0" labelOnly="1" grandRow="1" outline="0" axis="axisRow" fieldPosition="0">
        <references count="1">
          <reference field="4294967294" count="1" selected="0">
            <x v="5"/>
          </reference>
        </references>
      </pivotArea>
    </format>
    <format dxfId="2052">
      <pivotArea field="0" dataOnly="0" labelOnly="1" grandRow="1" outline="0" axis="axisRow" fieldPosition="0">
        <references count="1">
          <reference field="4294967294" count="1" selected="0">
            <x v="6"/>
          </reference>
        </references>
      </pivotArea>
    </format>
    <format dxfId="2051">
      <pivotArea field="0" dataOnly="0" labelOnly="1" grandRow="1" outline="0" axis="axisRow" fieldPosition="0">
        <references count="1">
          <reference field="4294967294" count="1" selected="0">
            <x v="7"/>
          </reference>
        </references>
      </pivotArea>
    </format>
    <format dxfId="2050">
      <pivotArea field="0" dataOnly="0" labelOnly="1" grandRow="1" outline="0" axis="axisRow" fieldPosition="0">
        <references count="1">
          <reference field="4294967294" count="1" selected="0">
            <x v="8"/>
          </reference>
        </references>
      </pivotArea>
    </format>
    <format dxfId="2049">
      <pivotArea field="0" dataOnly="0" labelOnly="1" grandRow="1" outline="0" axis="axisRow" fieldPosition="0">
        <references count="1">
          <reference field="4294967294" count="1" selected="0">
            <x v="9"/>
          </reference>
        </references>
      </pivotArea>
    </format>
    <format dxfId="2048">
      <pivotArea field="0" dataOnly="0" labelOnly="1" grandRow="1" outline="0" axis="axisRow" fieldPosition="0">
        <references count="1">
          <reference field="4294967294" count="1" selected="0">
            <x v="10"/>
          </reference>
        </references>
      </pivotArea>
    </format>
    <format dxfId="2047">
      <pivotArea field="0" dataOnly="0" labelOnly="1" grandRow="1" outline="0" axis="axisRow" fieldPosition="0">
        <references count="1">
          <reference field="4294967294" count="1" selected="0">
            <x v="11"/>
          </reference>
        </references>
      </pivotArea>
    </format>
    <format dxfId="2046">
      <pivotArea field="0" dataOnly="0" labelOnly="1" grandRow="1" outline="0" axis="axisRow" fieldPosition="0">
        <references count="1">
          <reference field="4294967294" count="1" selected="0">
            <x v="12"/>
          </reference>
        </references>
      </pivotArea>
    </format>
    <format dxfId="2045">
      <pivotArea field="0" dataOnly="0" labelOnly="1" grandRow="1" outline="0" axis="axisRow" fieldPosition="0">
        <references count="1">
          <reference field="4294967294" count="1" selected="0">
            <x v="13"/>
          </reference>
        </references>
      </pivotArea>
    </format>
    <format dxfId="2044">
      <pivotArea field="0" dataOnly="0" labelOnly="1" grandRow="1" outline="0" axis="axisRow" fieldPosition="0">
        <references count="1">
          <reference field="4294967294" count="1" selected="0">
            <x v="14"/>
          </reference>
        </references>
      </pivotArea>
    </format>
    <format dxfId="2043">
      <pivotArea field="0" dataOnly="0" labelOnly="1" grandRow="1" outline="0" axis="axisRow" fieldPosition="0">
        <references count="1">
          <reference field="4294967294" count="1" selected="0">
            <x v="15"/>
          </reference>
        </references>
      </pivotArea>
    </format>
    <format dxfId="2042">
      <pivotArea field="0" dataOnly="0" labelOnly="1" grandRow="1" outline="0" axis="axisRow" fieldPosition="0">
        <references count="1">
          <reference field="4294967294" count="1" selected="0">
            <x v="16"/>
          </reference>
        </references>
      </pivotArea>
    </format>
    <format dxfId="2041">
      <pivotArea field="0" dataOnly="0" labelOnly="1" grandRow="1" outline="0" axis="axisRow" fieldPosition="0">
        <references count="1">
          <reference field="4294967294" count="1" selected="0">
            <x v="17"/>
          </reference>
        </references>
      </pivotArea>
    </format>
    <format dxfId="2040">
      <pivotArea field="0" dataOnly="0" labelOnly="1" grandRow="1" outline="0" axis="axisRow" fieldPosition="0">
        <references count="1">
          <reference field="4294967294" count="1" selected="0">
            <x v="18"/>
          </reference>
        </references>
      </pivotArea>
    </format>
    <format dxfId="2039">
      <pivotArea field="0" dataOnly="0" labelOnly="1" grandRow="1" outline="0" axis="axisRow" fieldPosition="0">
        <references count="1">
          <reference field="4294967294" count="1" selected="0">
            <x v="19"/>
          </reference>
        </references>
      </pivotArea>
    </format>
    <format dxfId="2038">
      <pivotArea field="0" dataOnly="0" labelOnly="1" grandRow="1" outline="0" axis="axisRow" fieldPosition="0">
        <references count="1">
          <reference field="4294967294" count="1" selected="0">
            <x v="20"/>
          </reference>
        </references>
      </pivotArea>
    </format>
    <format dxfId="2037">
      <pivotArea field="0" dataOnly="0" labelOnly="1" grandRow="1" outline="0" axis="axisRow" fieldPosition="0">
        <references count="1">
          <reference field="4294967294" count="1" selected="0">
            <x v="21"/>
          </reference>
        </references>
      </pivotArea>
    </format>
    <format dxfId="2036">
      <pivotArea field="0" dataOnly="0" labelOnly="1" grandRow="1" outline="0" axis="axisRow" fieldPosition="0">
        <references count="1">
          <reference field="4294967294" count="1" selected="0">
            <x v="22"/>
          </reference>
        </references>
      </pivotArea>
    </format>
    <format dxfId="2035">
      <pivotArea field="0" dataOnly="0" labelOnly="1" grandRow="1" outline="0" axis="axisRow" fieldPosition="0">
        <references count="1">
          <reference field="4294967294" count="1" selected="0">
            <x v="23"/>
          </reference>
        </references>
      </pivotArea>
    </format>
    <format dxfId="2034">
      <pivotArea field="0" dataOnly="0" labelOnly="1" grandRow="1" outline="0" axis="axisRow" fieldPosition="0">
        <references count="1">
          <reference field="4294967294" count="1" selected="0">
            <x v="24"/>
          </reference>
        </references>
      </pivotArea>
    </format>
    <format dxfId="2033">
      <pivotArea field="0" dataOnly="0" labelOnly="1" grandRow="1" outline="0" axis="axisRow" fieldPosition="0">
        <references count="1">
          <reference field="4294967294" count="1" selected="0">
            <x v="25"/>
          </reference>
        </references>
      </pivotArea>
    </format>
    <format dxfId="2032">
      <pivotArea field="0" dataOnly="0" labelOnly="1" grandRow="1" outline="0" axis="axisRow" fieldPosition="0">
        <references count="1">
          <reference field="4294967294" count="1" selected="0">
            <x v="26"/>
          </reference>
        </references>
      </pivotArea>
    </format>
    <format dxfId="2031">
      <pivotArea field="0" dataOnly="0" labelOnly="1" grandRow="1" outline="0" axis="axisRow" fieldPosition="0">
        <references count="1">
          <reference field="4294967294" count="1" selected="0">
            <x v="27"/>
          </reference>
        </references>
      </pivotArea>
    </format>
    <format dxfId="2030">
      <pivotArea field="0" dataOnly="0" labelOnly="1" grandRow="1" outline="0" axis="axisRow" fieldPosition="0">
        <references count="1">
          <reference field="4294967294" count="1" selected="0">
            <x v="28"/>
          </reference>
        </references>
      </pivotArea>
    </format>
    <format dxfId="2029">
      <pivotArea field="0" dataOnly="0" labelOnly="1" grandRow="1" outline="0" axis="axisRow" fieldPosition="0">
        <references count="1">
          <reference field="4294967294" count="1" selected="0">
            <x v="29"/>
          </reference>
        </references>
      </pivotArea>
    </format>
    <format dxfId="2028">
      <pivotArea field="0" dataOnly="0" labelOnly="1" grandRow="1" outline="0" axis="axisRow" fieldPosition="0">
        <references count="1">
          <reference field="4294967294" count="1" selected="0">
            <x v="30"/>
          </reference>
        </references>
      </pivotArea>
    </format>
    <format dxfId="2027">
      <pivotArea field="0" dataOnly="0" labelOnly="1" grandRow="1" outline="0" axis="axisRow" fieldPosition="0">
        <references count="1">
          <reference field="4294967294" count="1" selected="0">
            <x v="31"/>
          </reference>
        </references>
      </pivotArea>
    </format>
    <format dxfId="2026">
      <pivotArea field="0" dataOnly="0" labelOnly="1" grandRow="1" outline="0" axis="axisRow" fieldPosition="0">
        <references count="1">
          <reference field="4294967294" count="1" selected="0">
            <x v="32"/>
          </reference>
        </references>
      </pivotArea>
    </format>
    <format dxfId="2025">
      <pivotArea field="0" dataOnly="0" labelOnly="1" grandRow="1" outline="0" axis="axisRow" fieldPosition="0">
        <references count="1">
          <reference field="4294967294" count="1" selected="0">
            <x v="33"/>
          </reference>
        </references>
      </pivotArea>
    </format>
    <format dxfId="2024">
      <pivotArea field="0" dataOnly="0" labelOnly="1" grandRow="1" outline="0" axis="axisRow" fieldPosition="0">
        <references count="1">
          <reference field="4294967294" count="1" selected="0">
            <x v="34"/>
          </reference>
        </references>
      </pivotArea>
    </format>
    <format dxfId="2023">
      <pivotArea field="0" dataOnly="0" labelOnly="1" grandRow="1" outline="0" axis="axisRow" fieldPosition="0">
        <references count="1">
          <reference field="4294967294" count="1" selected="0">
            <x v="35"/>
          </reference>
        </references>
      </pivotArea>
    </format>
    <format dxfId="2022">
      <pivotArea field="0" dataOnly="0" labelOnly="1" grandRow="1" outline="0" axis="axisRow" fieldPosition="0">
        <references count="1">
          <reference field="4294967294" count="1" selected="0">
            <x v="0"/>
          </reference>
        </references>
      </pivotArea>
    </format>
    <format dxfId="2021">
      <pivotArea field="0" dataOnly="0" labelOnly="1" grandRow="1" outline="0" axis="axisRow" fieldPosition="0">
        <references count="1">
          <reference field="4294967294" count="1" selected="0">
            <x v="1"/>
          </reference>
        </references>
      </pivotArea>
    </format>
    <format dxfId="2020">
      <pivotArea field="0" dataOnly="0" labelOnly="1" grandRow="1" outline="0" axis="axisRow" fieldPosition="0">
        <references count="1">
          <reference field="4294967294" count="1" selected="0">
            <x v="2"/>
          </reference>
        </references>
      </pivotArea>
    </format>
    <format dxfId="2019">
      <pivotArea field="0" dataOnly="0" labelOnly="1" grandRow="1" outline="0" axis="axisRow" fieldPosition="0">
        <references count="1">
          <reference field="4294967294" count="1" selected="0">
            <x v="3"/>
          </reference>
        </references>
      </pivotArea>
    </format>
    <format dxfId="2018">
      <pivotArea field="0" dataOnly="0" labelOnly="1" grandRow="1" outline="0" axis="axisRow" fieldPosition="0">
        <references count="1">
          <reference field="4294967294" count="1" selected="0">
            <x v="4"/>
          </reference>
        </references>
      </pivotArea>
    </format>
    <format dxfId="2017">
      <pivotArea field="0" dataOnly="0" labelOnly="1" grandRow="1" outline="0" axis="axisRow" fieldPosition="0">
        <references count="1">
          <reference field="4294967294" count="1" selected="0">
            <x v="5"/>
          </reference>
        </references>
      </pivotArea>
    </format>
    <format dxfId="2016">
      <pivotArea field="0" dataOnly="0" labelOnly="1" grandRow="1" outline="0" axis="axisRow" fieldPosition="0">
        <references count="1">
          <reference field="4294967294" count="1" selected="0">
            <x v="6"/>
          </reference>
        </references>
      </pivotArea>
    </format>
    <format dxfId="2015">
      <pivotArea field="0" dataOnly="0" labelOnly="1" grandRow="1" outline="0" axis="axisRow" fieldPosition="0">
        <references count="1">
          <reference field="4294967294" count="1" selected="0">
            <x v="7"/>
          </reference>
        </references>
      </pivotArea>
    </format>
    <format dxfId="2014">
      <pivotArea field="0" dataOnly="0" labelOnly="1" grandRow="1" outline="0" axis="axisRow" fieldPosition="0">
        <references count="1">
          <reference field="4294967294" count="1" selected="0">
            <x v="8"/>
          </reference>
        </references>
      </pivotArea>
    </format>
    <format dxfId="2013">
      <pivotArea field="0" dataOnly="0" labelOnly="1" grandRow="1" outline="0" axis="axisRow" fieldPosition="0">
        <references count="1">
          <reference field="4294967294" count="1" selected="0">
            <x v="9"/>
          </reference>
        </references>
      </pivotArea>
    </format>
    <format dxfId="2012">
      <pivotArea field="0" dataOnly="0" labelOnly="1" grandRow="1" outline="0" axis="axisRow" fieldPosition="0">
        <references count="1">
          <reference field="4294967294" count="1" selected="0">
            <x v="10"/>
          </reference>
        </references>
      </pivotArea>
    </format>
    <format dxfId="2011">
      <pivotArea field="0" dataOnly="0" labelOnly="1" grandRow="1" outline="0" axis="axisRow" fieldPosition="0">
        <references count="1">
          <reference field="4294967294" count="1" selected="0">
            <x v="11"/>
          </reference>
        </references>
      </pivotArea>
    </format>
    <format dxfId="2010">
      <pivotArea field="0" dataOnly="0" labelOnly="1" grandRow="1" outline="0" axis="axisRow" fieldPosition="0">
        <references count="1">
          <reference field="4294967294" count="1" selected="0">
            <x v="12"/>
          </reference>
        </references>
      </pivotArea>
    </format>
    <format dxfId="2009">
      <pivotArea field="0" dataOnly="0" labelOnly="1" grandRow="1" outline="0" axis="axisRow" fieldPosition="0">
        <references count="1">
          <reference field="4294967294" count="1" selected="0">
            <x v="13"/>
          </reference>
        </references>
      </pivotArea>
    </format>
    <format dxfId="2008">
      <pivotArea field="0" dataOnly="0" labelOnly="1" grandRow="1" outline="0" axis="axisRow" fieldPosition="0">
        <references count="1">
          <reference field="4294967294" count="1" selected="0">
            <x v="14"/>
          </reference>
        </references>
      </pivotArea>
    </format>
    <format dxfId="2007">
      <pivotArea field="0" dataOnly="0" labelOnly="1" grandRow="1" outline="0" axis="axisRow" fieldPosition="0">
        <references count="1">
          <reference field="4294967294" count="1" selected="0">
            <x v="15"/>
          </reference>
        </references>
      </pivotArea>
    </format>
    <format dxfId="2006">
      <pivotArea field="0" dataOnly="0" labelOnly="1" grandRow="1" outline="0" axis="axisRow" fieldPosition="0">
        <references count="1">
          <reference field="4294967294" count="1" selected="0">
            <x v="16"/>
          </reference>
        </references>
      </pivotArea>
    </format>
    <format dxfId="2005">
      <pivotArea field="0" dataOnly="0" labelOnly="1" grandRow="1" outline="0" axis="axisRow" fieldPosition="0">
        <references count="1">
          <reference field="4294967294" count="1" selected="0">
            <x v="17"/>
          </reference>
        </references>
      </pivotArea>
    </format>
    <format dxfId="2004">
      <pivotArea field="0" dataOnly="0" labelOnly="1" grandRow="1" outline="0" axis="axisRow" fieldPosition="0">
        <references count="1">
          <reference field="4294967294" count="1" selected="0">
            <x v="18"/>
          </reference>
        </references>
      </pivotArea>
    </format>
    <format dxfId="2003">
      <pivotArea field="0" dataOnly="0" labelOnly="1" grandRow="1" outline="0" axis="axisRow" fieldPosition="0">
        <references count="1">
          <reference field="4294967294" count="1" selected="0">
            <x v="19"/>
          </reference>
        </references>
      </pivotArea>
    </format>
    <format dxfId="2002">
      <pivotArea field="0" dataOnly="0" labelOnly="1" grandRow="1" outline="0" axis="axisRow" fieldPosition="0">
        <references count="1">
          <reference field="4294967294" count="1" selected="0">
            <x v="20"/>
          </reference>
        </references>
      </pivotArea>
    </format>
    <format dxfId="2001">
      <pivotArea field="0" dataOnly="0" labelOnly="1" grandRow="1" outline="0" axis="axisRow" fieldPosition="0">
        <references count="1">
          <reference field="4294967294" count="1" selected="0">
            <x v="21"/>
          </reference>
        </references>
      </pivotArea>
    </format>
    <format dxfId="2000">
      <pivotArea field="0" dataOnly="0" labelOnly="1" grandRow="1" outline="0" axis="axisRow" fieldPosition="0">
        <references count="1">
          <reference field="4294967294" count="1" selected="0">
            <x v="22"/>
          </reference>
        </references>
      </pivotArea>
    </format>
    <format dxfId="1999">
      <pivotArea field="0" dataOnly="0" labelOnly="1" grandRow="1" outline="0" axis="axisRow" fieldPosition="0">
        <references count="1">
          <reference field="4294967294" count="1" selected="0">
            <x v="23"/>
          </reference>
        </references>
      </pivotArea>
    </format>
    <format dxfId="1998">
      <pivotArea field="0" dataOnly="0" labelOnly="1" grandRow="1" outline="0" axis="axisRow" fieldPosition="0">
        <references count="1">
          <reference field="4294967294" count="1" selected="0">
            <x v="24"/>
          </reference>
        </references>
      </pivotArea>
    </format>
    <format dxfId="1997">
      <pivotArea field="0" dataOnly="0" labelOnly="1" grandRow="1" outline="0" axis="axisRow" fieldPosition="0">
        <references count="1">
          <reference field="4294967294" count="1" selected="0">
            <x v="25"/>
          </reference>
        </references>
      </pivotArea>
    </format>
    <format dxfId="1996">
      <pivotArea field="0" dataOnly="0" labelOnly="1" grandRow="1" outline="0" axis="axisRow" fieldPosition="0">
        <references count="1">
          <reference field="4294967294" count="1" selected="0">
            <x v="26"/>
          </reference>
        </references>
      </pivotArea>
    </format>
    <format dxfId="1995">
      <pivotArea field="0" dataOnly="0" labelOnly="1" grandRow="1" outline="0" axis="axisRow" fieldPosition="0">
        <references count="1">
          <reference field="4294967294" count="1" selected="0">
            <x v="27"/>
          </reference>
        </references>
      </pivotArea>
    </format>
    <format dxfId="1994">
      <pivotArea field="0" dataOnly="0" labelOnly="1" grandRow="1" outline="0" axis="axisRow" fieldPosition="0">
        <references count="1">
          <reference field="4294967294" count="1" selected="0">
            <x v="28"/>
          </reference>
        </references>
      </pivotArea>
    </format>
    <format dxfId="1993">
      <pivotArea field="0" dataOnly="0" labelOnly="1" grandRow="1" outline="0" axis="axisRow" fieldPosition="0">
        <references count="1">
          <reference field="4294967294" count="1" selected="0">
            <x v="29"/>
          </reference>
        </references>
      </pivotArea>
    </format>
    <format dxfId="1992">
      <pivotArea field="0" dataOnly="0" labelOnly="1" grandRow="1" outline="0" axis="axisRow" fieldPosition="0">
        <references count="1">
          <reference field="4294967294" count="1" selected="0">
            <x v="30"/>
          </reference>
        </references>
      </pivotArea>
    </format>
    <format dxfId="1991">
      <pivotArea field="0" dataOnly="0" labelOnly="1" grandRow="1" outline="0" axis="axisRow" fieldPosition="0">
        <references count="1">
          <reference field="4294967294" count="1" selected="0">
            <x v="31"/>
          </reference>
        </references>
      </pivotArea>
    </format>
    <format dxfId="1990">
      <pivotArea field="0" dataOnly="0" labelOnly="1" grandRow="1" outline="0" axis="axisRow" fieldPosition="0">
        <references count="1">
          <reference field="4294967294" count="1" selected="0">
            <x v="32"/>
          </reference>
        </references>
      </pivotArea>
    </format>
    <format dxfId="1989">
      <pivotArea field="0" dataOnly="0" labelOnly="1" grandRow="1" outline="0" axis="axisRow" fieldPosition="0">
        <references count="1">
          <reference field="4294967294" count="1" selected="0">
            <x v="33"/>
          </reference>
        </references>
      </pivotArea>
    </format>
    <format dxfId="1988">
      <pivotArea field="0" dataOnly="0" labelOnly="1" grandRow="1" outline="0" axis="axisRow" fieldPosition="0">
        <references count="1">
          <reference field="4294967294" count="1" selected="0">
            <x v="34"/>
          </reference>
        </references>
      </pivotArea>
    </format>
    <format dxfId="1987">
      <pivotArea field="0" dataOnly="0" labelOnly="1" grandRow="1" outline="0" axis="axisRow" fieldPosition="0">
        <references count="1">
          <reference field="4294967294" count="1" selected="0">
            <x v="35"/>
          </reference>
        </references>
      </pivotArea>
    </format>
    <format dxfId="1986">
      <pivotArea field="0" dataOnly="0" labelOnly="1" grandRow="1" outline="0" axis="axisRow" fieldPosition="0">
        <references count="1">
          <reference field="4294967294" count="1" selected="0">
            <x v="0"/>
          </reference>
        </references>
      </pivotArea>
    </format>
    <format dxfId="1985">
      <pivotArea field="0" dataOnly="0" labelOnly="1" grandRow="1" outline="0" axis="axisRow" fieldPosition="0">
        <references count="1">
          <reference field="4294967294" count="1" selected="0">
            <x v="1"/>
          </reference>
        </references>
      </pivotArea>
    </format>
    <format dxfId="1984">
      <pivotArea field="0" dataOnly="0" labelOnly="1" grandRow="1" outline="0" axis="axisRow" fieldPosition="0">
        <references count="1">
          <reference field="4294967294" count="1" selected="0">
            <x v="2"/>
          </reference>
        </references>
      </pivotArea>
    </format>
    <format dxfId="1983">
      <pivotArea field="0" dataOnly="0" labelOnly="1" grandRow="1" outline="0" axis="axisRow" fieldPosition="0">
        <references count="1">
          <reference field="4294967294" count="1" selected="0">
            <x v="3"/>
          </reference>
        </references>
      </pivotArea>
    </format>
    <format dxfId="1982">
      <pivotArea field="0" dataOnly="0" labelOnly="1" grandRow="1" outline="0" axis="axisRow" fieldPosition="0">
        <references count="1">
          <reference field="4294967294" count="1" selected="0">
            <x v="4"/>
          </reference>
        </references>
      </pivotArea>
    </format>
    <format dxfId="1981">
      <pivotArea field="0" dataOnly="0" labelOnly="1" grandRow="1" outline="0" axis="axisRow" fieldPosition="0">
        <references count="1">
          <reference field="4294967294" count="1" selected="0">
            <x v="5"/>
          </reference>
        </references>
      </pivotArea>
    </format>
    <format dxfId="1980">
      <pivotArea field="0" dataOnly="0" labelOnly="1" grandRow="1" outline="0" axis="axisRow" fieldPosition="0">
        <references count="1">
          <reference field="4294967294" count="1" selected="0">
            <x v="6"/>
          </reference>
        </references>
      </pivotArea>
    </format>
    <format dxfId="1979">
      <pivotArea field="0" dataOnly="0" labelOnly="1" grandRow="1" outline="0" axis="axisRow" fieldPosition="0">
        <references count="1">
          <reference field="4294967294" count="1" selected="0">
            <x v="7"/>
          </reference>
        </references>
      </pivotArea>
    </format>
    <format dxfId="1978">
      <pivotArea field="0" dataOnly="0" labelOnly="1" grandRow="1" outline="0" axis="axisRow" fieldPosition="0">
        <references count="1">
          <reference field="4294967294" count="1" selected="0">
            <x v="8"/>
          </reference>
        </references>
      </pivotArea>
    </format>
    <format dxfId="1977">
      <pivotArea field="0" dataOnly="0" labelOnly="1" grandRow="1" outline="0" axis="axisRow" fieldPosition="0">
        <references count="1">
          <reference field="4294967294" count="1" selected="0">
            <x v="9"/>
          </reference>
        </references>
      </pivotArea>
    </format>
    <format dxfId="1976">
      <pivotArea field="0" dataOnly="0" labelOnly="1" grandRow="1" outline="0" axis="axisRow" fieldPosition="0">
        <references count="1">
          <reference field="4294967294" count="1" selected="0">
            <x v="10"/>
          </reference>
        </references>
      </pivotArea>
    </format>
    <format dxfId="1975">
      <pivotArea field="0" dataOnly="0" labelOnly="1" grandRow="1" outline="0" axis="axisRow" fieldPosition="0">
        <references count="1">
          <reference field="4294967294" count="1" selected="0">
            <x v="11"/>
          </reference>
        </references>
      </pivotArea>
    </format>
    <format dxfId="1974">
      <pivotArea field="0" dataOnly="0" labelOnly="1" grandRow="1" outline="0" axis="axisRow" fieldPosition="0">
        <references count="1">
          <reference field="4294967294" count="1" selected="0">
            <x v="12"/>
          </reference>
        </references>
      </pivotArea>
    </format>
    <format dxfId="1973">
      <pivotArea field="0" dataOnly="0" labelOnly="1" grandRow="1" outline="0" axis="axisRow" fieldPosition="0">
        <references count="1">
          <reference field="4294967294" count="1" selected="0">
            <x v="13"/>
          </reference>
        </references>
      </pivotArea>
    </format>
    <format dxfId="1972">
      <pivotArea field="0" dataOnly="0" labelOnly="1" grandRow="1" outline="0" axis="axisRow" fieldPosition="0">
        <references count="1">
          <reference field="4294967294" count="1" selected="0">
            <x v="14"/>
          </reference>
        </references>
      </pivotArea>
    </format>
    <format dxfId="1971">
      <pivotArea field="0" dataOnly="0" labelOnly="1" grandRow="1" outline="0" axis="axisRow" fieldPosition="0">
        <references count="1">
          <reference field="4294967294" count="1" selected="0">
            <x v="15"/>
          </reference>
        </references>
      </pivotArea>
    </format>
    <format dxfId="1970">
      <pivotArea field="0" dataOnly="0" labelOnly="1" grandRow="1" outline="0" axis="axisRow" fieldPosition="0">
        <references count="1">
          <reference field="4294967294" count="1" selected="0">
            <x v="16"/>
          </reference>
        </references>
      </pivotArea>
    </format>
    <format dxfId="1969">
      <pivotArea field="0" dataOnly="0" labelOnly="1" grandRow="1" outline="0" axis="axisRow" fieldPosition="0">
        <references count="1">
          <reference field="4294967294" count="1" selected="0">
            <x v="17"/>
          </reference>
        </references>
      </pivotArea>
    </format>
    <format dxfId="1968">
      <pivotArea field="0" dataOnly="0" labelOnly="1" grandRow="1" outline="0" axis="axisRow" fieldPosition="0">
        <references count="1">
          <reference field="4294967294" count="1" selected="0">
            <x v="18"/>
          </reference>
        </references>
      </pivotArea>
    </format>
    <format dxfId="1967">
      <pivotArea field="0" dataOnly="0" labelOnly="1" grandRow="1" outline="0" axis="axisRow" fieldPosition="0">
        <references count="1">
          <reference field="4294967294" count="1" selected="0">
            <x v="19"/>
          </reference>
        </references>
      </pivotArea>
    </format>
    <format dxfId="1966">
      <pivotArea field="0" dataOnly="0" labelOnly="1" grandRow="1" outline="0" axis="axisRow" fieldPosition="0">
        <references count="1">
          <reference field="4294967294" count="1" selected="0">
            <x v="20"/>
          </reference>
        </references>
      </pivotArea>
    </format>
    <format dxfId="1965">
      <pivotArea field="0" dataOnly="0" labelOnly="1" grandRow="1" outline="0" axis="axisRow" fieldPosition="0">
        <references count="1">
          <reference field="4294967294" count="1" selected="0">
            <x v="21"/>
          </reference>
        </references>
      </pivotArea>
    </format>
    <format dxfId="1964">
      <pivotArea field="0" dataOnly="0" labelOnly="1" grandRow="1" outline="0" axis="axisRow" fieldPosition="0">
        <references count="1">
          <reference field="4294967294" count="1" selected="0">
            <x v="22"/>
          </reference>
        </references>
      </pivotArea>
    </format>
    <format dxfId="1963">
      <pivotArea field="0" dataOnly="0" labelOnly="1" grandRow="1" outline="0" axis="axisRow" fieldPosition="0">
        <references count="1">
          <reference field="4294967294" count="1" selected="0">
            <x v="23"/>
          </reference>
        </references>
      </pivotArea>
    </format>
    <format dxfId="1962">
      <pivotArea field="0" dataOnly="0" labelOnly="1" grandRow="1" outline="0" axis="axisRow" fieldPosition="0">
        <references count="1">
          <reference field="4294967294" count="1" selected="0">
            <x v="24"/>
          </reference>
        </references>
      </pivotArea>
    </format>
    <format dxfId="1961">
      <pivotArea field="0" dataOnly="0" labelOnly="1" grandRow="1" outline="0" axis="axisRow" fieldPosition="0">
        <references count="1">
          <reference field="4294967294" count="1" selected="0">
            <x v="25"/>
          </reference>
        </references>
      </pivotArea>
    </format>
    <format dxfId="1960">
      <pivotArea field="0" dataOnly="0" labelOnly="1" grandRow="1" outline="0" axis="axisRow" fieldPosition="0">
        <references count="1">
          <reference field="4294967294" count="1" selected="0">
            <x v="26"/>
          </reference>
        </references>
      </pivotArea>
    </format>
    <format dxfId="1959">
      <pivotArea field="0" dataOnly="0" labelOnly="1" grandRow="1" outline="0" axis="axisRow" fieldPosition="0">
        <references count="1">
          <reference field="4294967294" count="1" selected="0">
            <x v="27"/>
          </reference>
        </references>
      </pivotArea>
    </format>
    <format dxfId="1958">
      <pivotArea field="0" dataOnly="0" labelOnly="1" grandRow="1" outline="0" axis="axisRow" fieldPosition="0">
        <references count="1">
          <reference field="4294967294" count="1" selected="0">
            <x v="28"/>
          </reference>
        </references>
      </pivotArea>
    </format>
    <format dxfId="1957">
      <pivotArea field="0" dataOnly="0" labelOnly="1" grandRow="1" outline="0" axis="axisRow" fieldPosition="0">
        <references count="1">
          <reference field="4294967294" count="1" selected="0">
            <x v="29"/>
          </reference>
        </references>
      </pivotArea>
    </format>
    <format dxfId="1956">
      <pivotArea field="0" dataOnly="0" labelOnly="1" grandRow="1" outline="0" axis="axisRow" fieldPosition="0">
        <references count="1">
          <reference field="4294967294" count="1" selected="0">
            <x v="30"/>
          </reference>
        </references>
      </pivotArea>
    </format>
    <format dxfId="1955">
      <pivotArea field="0" dataOnly="0" labelOnly="1" grandRow="1" outline="0" axis="axisRow" fieldPosition="0">
        <references count="1">
          <reference field="4294967294" count="1" selected="0">
            <x v="31"/>
          </reference>
        </references>
      </pivotArea>
    </format>
    <format dxfId="1954">
      <pivotArea field="0" dataOnly="0" labelOnly="1" grandRow="1" outline="0" axis="axisRow" fieldPosition="0">
        <references count="1">
          <reference field="4294967294" count="1" selected="0">
            <x v="32"/>
          </reference>
        </references>
      </pivotArea>
    </format>
    <format dxfId="1953">
      <pivotArea field="0" dataOnly="0" labelOnly="1" grandRow="1" outline="0" axis="axisRow" fieldPosition="0">
        <references count="1">
          <reference field="4294967294" count="1" selected="0">
            <x v="33"/>
          </reference>
        </references>
      </pivotArea>
    </format>
    <format dxfId="1952">
      <pivotArea field="0" dataOnly="0" labelOnly="1" grandRow="1" outline="0" axis="axisRow" fieldPosition="0">
        <references count="1">
          <reference field="4294967294" count="1" selected="0">
            <x v="34"/>
          </reference>
        </references>
      </pivotArea>
    </format>
    <format dxfId="1951">
      <pivotArea field="0" dataOnly="0" labelOnly="1" grandRow="1" outline="0" axis="axisRow" fieldPosition="0">
        <references count="1">
          <reference field="4294967294" count="1" selected="0">
            <x v="35"/>
          </reference>
        </references>
      </pivotArea>
    </format>
    <format dxfId="1950">
      <pivotArea field="0" dataOnly="0" labelOnly="1" grandRow="1" outline="0" axis="axisRow" fieldPosition="0">
        <references count="1">
          <reference field="4294967294" count="1" selected="0">
            <x v="0"/>
          </reference>
        </references>
      </pivotArea>
    </format>
    <format dxfId="1949">
      <pivotArea field="0" dataOnly="0" labelOnly="1" grandRow="1" outline="0" axis="axisRow" fieldPosition="0">
        <references count="1">
          <reference field="4294967294" count="1" selected="0">
            <x v="1"/>
          </reference>
        </references>
      </pivotArea>
    </format>
    <format dxfId="1948">
      <pivotArea field="0" dataOnly="0" labelOnly="1" grandRow="1" outline="0" axis="axisRow" fieldPosition="0">
        <references count="1">
          <reference field="4294967294" count="1" selected="0">
            <x v="2"/>
          </reference>
        </references>
      </pivotArea>
    </format>
    <format dxfId="1947">
      <pivotArea field="0" dataOnly="0" labelOnly="1" grandRow="1" outline="0" axis="axisRow" fieldPosition="0">
        <references count="1">
          <reference field="4294967294" count="1" selected="0">
            <x v="3"/>
          </reference>
        </references>
      </pivotArea>
    </format>
    <format dxfId="1946">
      <pivotArea field="0" dataOnly="0" labelOnly="1" grandRow="1" outline="0" axis="axisRow" fieldPosition="0">
        <references count="1">
          <reference field="4294967294" count="1" selected="0">
            <x v="4"/>
          </reference>
        </references>
      </pivotArea>
    </format>
    <format dxfId="1945">
      <pivotArea field="0" dataOnly="0" labelOnly="1" grandRow="1" outline="0" axis="axisRow" fieldPosition="0">
        <references count="1">
          <reference field="4294967294" count="1" selected="0">
            <x v="5"/>
          </reference>
        </references>
      </pivotArea>
    </format>
    <format dxfId="1944">
      <pivotArea field="0" dataOnly="0" labelOnly="1" grandRow="1" outline="0" axis="axisRow" fieldPosition="0">
        <references count="1">
          <reference field="4294967294" count="1" selected="0">
            <x v="6"/>
          </reference>
        </references>
      </pivotArea>
    </format>
    <format dxfId="1943">
      <pivotArea field="0" dataOnly="0" labelOnly="1" grandRow="1" outline="0" axis="axisRow" fieldPosition="0">
        <references count="1">
          <reference field="4294967294" count="1" selected="0">
            <x v="7"/>
          </reference>
        </references>
      </pivotArea>
    </format>
    <format dxfId="1942">
      <pivotArea field="0" dataOnly="0" labelOnly="1" grandRow="1" outline="0" axis="axisRow" fieldPosition="0">
        <references count="1">
          <reference field="4294967294" count="1" selected="0">
            <x v="8"/>
          </reference>
        </references>
      </pivotArea>
    </format>
    <format dxfId="1941">
      <pivotArea field="0" dataOnly="0" labelOnly="1" grandRow="1" outline="0" axis="axisRow" fieldPosition="0">
        <references count="1">
          <reference field="4294967294" count="1" selected="0">
            <x v="9"/>
          </reference>
        </references>
      </pivotArea>
    </format>
    <format dxfId="1940">
      <pivotArea field="0" dataOnly="0" labelOnly="1" grandRow="1" outline="0" axis="axisRow" fieldPosition="0">
        <references count="1">
          <reference field="4294967294" count="1" selected="0">
            <x v="10"/>
          </reference>
        </references>
      </pivotArea>
    </format>
    <format dxfId="1939">
      <pivotArea field="0" dataOnly="0" labelOnly="1" grandRow="1" outline="0" axis="axisRow" fieldPosition="0">
        <references count="1">
          <reference field="4294967294" count="1" selected="0">
            <x v="11"/>
          </reference>
        </references>
      </pivotArea>
    </format>
    <format dxfId="1938">
      <pivotArea field="0" dataOnly="0" labelOnly="1" grandRow="1" outline="0" axis="axisRow" fieldPosition="0">
        <references count="1">
          <reference field="4294967294" count="1" selected="0">
            <x v="12"/>
          </reference>
        </references>
      </pivotArea>
    </format>
    <format dxfId="1937">
      <pivotArea field="0" dataOnly="0" labelOnly="1" grandRow="1" outline="0" axis="axisRow" fieldPosition="0">
        <references count="1">
          <reference field="4294967294" count="1" selected="0">
            <x v="13"/>
          </reference>
        </references>
      </pivotArea>
    </format>
    <format dxfId="1936">
      <pivotArea field="0" dataOnly="0" labelOnly="1" grandRow="1" outline="0" axis="axisRow" fieldPosition="0">
        <references count="1">
          <reference field="4294967294" count="1" selected="0">
            <x v="14"/>
          </reference>
        </references>
      </pivotArea>
    </format>
    <format dxfId="1935">
      <pivotArea field="0" dataOnly="0" labelOnly="1" grandRow="1" outline="0" axis="axisRow" fieldPosition="0">
        <references count="1">
          <reference field="4294967294" count="1" selected="0">
            <x v="15"/>
          </reference>
        </references>
      </pivotArea>
    </format>
    <format dxfId="1934">
      <pivotArea field="0" dataOnly="0" labelOnly="1" grandRow="1" outline="0" axis="axisRow" fieldPosition="0">
        <references count="1">
          <reference field="4294967294" count="1" selected="0">
            <x v="16"/>
          </reference>
        </references>
      </pivotArea>
    </format>
    <format dxfId="1933">
      <pivotArea field="0" dataOnly="0" labelOnly="1" grandRow="1" outline="0" axis="axisRow" fieldPosition="0">
        <references count="1">
          <reference field="4294967294" count="1" selected="0">
            <x v="17"/>
          </reference>
        </references>
      </pivotArea>
    </format>
    <format dxfId="1932">
      <pivotArea field="0" dataOnly="0" labelOnly="1" grandRow="1" outline="0" axis="axisRow" fieldPosition="0">
        <references count="1">
          <reference field="4294967294" count="1" selected="0">
            <x v="18"/>
          </reference>
        </references>
      </pivotArea>
    </format>
    <format dxfId="1931">
      <pivotArea field="0" dataOnly="0" labelOnly="1" grandRow="1" outline="0" axis="axisRow" fieldPosition="0">
        <references count="1">
          <reference field="4294967294" count="1" selected="0">
            <x v="19"/>
          </reference>
        </references>
      </pivotArea>
    </format>
    <format dxfId="1930">
      <pivotArea field="0" dataOnly="0" labelOnly="1" grandRow="1" outline="0" axis="axisRow" fieldPosition="0">
        <references count="1">
          <reference field="4294967294" count="1" selected="0">
            <x v="20"/>
          </reference>
        </references>
      </pivotArea>
    </format>
    <format dxfId="1929">
      <pivotArea field="0" dataOnly="0" labelOnly="1" grandRow="1" outline="0" axis="axisRow" fieldPosition="0">
        <references count="1">
          <reference field="4294967294" count="1" selected="0">
            <x v="21"/>
          </reference>
        </references>
      </pivotArea>
    </format>
    <format dxfId="1928">
      <pivotArea field="0" dataOnly="0" labelOnly="1" grandRow="1" outline="0" axis="axisRow" fieldPosition="0">
        <references count="1">
          <reference field="4294967294" count="1" selected="0">
            <x v="22"/>
          </reference>
        </references>
      </pivotArea>
    </format>
    <format dxfId="1927">
      <pivotArea field="0" dataOnly="0" labelOnly="1" grandRow="1" outline="0" axis="axisRow" fieldPosition="0">
        <references count="1">
          <reference field="4294967294" count="1" selected="0">
            <x v="23"/>
          </reference>
        </references>
      </pivotArea>
    </format>
    <format dxfId="1926">
      <pivotArea field="0" dataOnly="0" labelOnly="1" grandRow="1" outline="0" axis="axisRow" fieldPosition="0">
        <references count="1">
          <reference field="4294967294" count="1" selected="0">
            <x v="24"/>
          </reference>
        </references>
      </pivotArea>
    </format>
    <format dxfId="1925">
      <pivotArea field="0" dataOnly="0" labelOnly="1" grandRow="1" outline="0" axis="axisRow" fieldPosition="0">
        <references count="1">
          <reference field="4294967294" count="1" selected="0">
            <x v="25"/>
          </reference>
        </references>
      </pivotArea>
    </format>
    <format dxfId="1924">
      <pivotArea field="0" dataOnly="0" labelOnly="1" grandRow="1" outline="0" axis="axisRow" fieldPosition="0">
        <references count="1">
          <reference field="4294967294" count="1" selected="0">
            <x v="26"/>
          </reference>
        </references>
      </pivotArea>
    </format>
    <format dxfId="1923">
      <pivotArea field="0" dataOnly="0" labelOnly="1" grandRow="1" outline="0" axis="axisRow" fieldPosition="0">
        <references count="1">
          <reference field="4294967294" count="1" selected="0">
            <x v="27"/>
          </reference>
        </references>
      </pivotArea>
    </format>
    <format dxfId="1922">
      <pivotArea field="0" dataOnly="0" labelOnly="1" grandRow="1" outline="0" axis="axisRow" fieldPosition="0">
        <references count="1">
          <reference field="4294967294" count="1" selected="0">
            <x v="28"/>
          </reference>
        </references>
      </pivotArea>
    </format>
    <format dxfId="1921">
      <pivotArea field="0" dataOnly="0" labelOnly="1" grandRow="1" outline="0" axis="axisRow" fieldPosition="0">
        <references count="1">
          <reference field="4294967294" count="1" selected="0">
            <x v="29"/>
          </reference>
        </references>
      </pivotArea>
    </format>
    <format dxfId="1920">
      <pivotArea field="0" dataOnly="0" labelOnly="1" grandRow="1" outline="0" axis="axisRow" fieldPosition="0">
        <references count="1">
          <reference field="4294967294" count="1" selected="0">
            <x v="30"/>
          </reference>
        </references>
      </pivotArea>
    </format>
    <format dxfId="1919">
      <pivotArea field="0" dataOnly="0" labelOnly="1" grandRow="1" outline="0" axis="axisRow" fieldPosition="0">
        <references count="1">
          <reference field="4294967294" count="1" selected="0">
            <x v="31"/>
          </reference>
        </references>
      </pivotArea>
    </format>
    <format dxfId="1918">
      <pivotArea field="0" dataOnly="0" labelOnly="1" grandRow="1" outline="0" axis="axisRow" fieldPosition="0">
        <references count="1">
          <reference field="4294967294" count="1" selected="0">
            <x v="32"/>
          </reference>
        </references>
      </pivotArea>
    </format>
    <format dxfId="1917">
      <pivotArea field="0" dataOnly="0" labelOnly="1" grandRow="1" outline="0" axis="axisRow" fieldPosition="0">
        <references count="1">
          <reference field="4294967294" count="1" selected="0">
            <x v="33"/>
          </reference>
        </references>
      </pivotArea>
    </format>
    <format dxfId="1916">
      <pivotArea field="0" dataOnly="0" labelOnly="1" grandRow="1" outline="0" axis="axisRow" fieldPosition="0">
        <references count="1">
          <reference field="4294967294" count="1" selected="0">
            <x v="34"/>
          </reference>
        </references>
      </pivotArea>
    </format>
    <format dxfId="1915">
      <pivotArea field="0" dataOnly="0" labelOnly="1" grandRow="1" outline="0" axis="axisRow" fieldPosition="0">
        <references count="1">
          <reference field="4294967294" count="1" selected="0">
            <x v="35"/>
          </reference>
        </references>
      </pivotArea>
    </format>
    <format dxfId="1914">
      <pivotArea field="0" dataOnly="0" labelOnly="1" grandRow="1" outline="0" axis="axisRow" fieldPosition="0">
        <references count="1">
          <reference field="4294967294" count="1" selected="0">
            <x v="0"/>
          </reference>
        </references>
      </pivotArea>
    </format>
    <format dxfId="1913">
      <pivotArea field="0" dataOnly="0" labelOnly="1" grandRow="1" outline="0" axis="axisRow" fieldPosition="0">
        <references count="1">
          <reference field="4294967294" count="1" selected="0">
            <x v="1"/>
          </reference>
        </references>
      </pivotArea>
    </format>
    <format dxfId="1912">
      <pivotArea field="0" dataOnly="0" labelOnly="1" grandRow="1" outline="0" axis="axisRow" fieldPosition="0">
        <references count="1">
          <reference field="4294967294" count="1" selected="0">
            <x v="2"/>
          </reference>
        </references>
      </pivotArea>
    </format>
    <format dxfId="1911">
      <pivotArea field="0" dataOnly="0" labelOnly="1" grandRow="1" outline="0" axis="axisRow" fieldPosition="0">
        <references count="1">
          <reference field="4294967294" count="1" selected="0">
            <x v="3"/>
          </reference>
        </references>
      </pivotArea>
    </format>
    <format dxfId="1910">
      <pivotArea field="0" dataOnly="0" labelOnly="1" grandRow="1" outline="0" axis="axisRow" fieldPosition="0">
        <references count="1">
          <reference field="4294967294" count="1" selected="0">
            <x v="4"/>
          </reference>
        </references>
      </pivotArea>
    </format>
    <format dxfId="1909">
      <pivotArea field="0" dataOnly="0" labelOnly="1" grandRow="1" outline="0" axis="axisRow" fieldPosition="0">
        <references count="1">
          <reference field="4294967294" count="1" selected="0">
            <x v="5"/>
          </reference>
        </references>
      </pivotArea>
    </format>
    <format dxfId="1908">
      <pivotArea field="0" dataOnly="0" labelOnly="1" grandRow="1" outline="0" axis="axisRow" fieldPosition="0">
        <references count="1">
          <reference field="4294967294" count="1" selected="0">
            <x v="6"/>
          </reference>
        </references>
      </pivotArea>
    </format>
    <format dxfId="1907">
      <pivotArea field="0" dataOnly="0" labelOnly="1" grandRow="1" outline="0" axis="axisRow" fieldPosition="0">
        <references count="1">
          <reference field="4294967294" count="1" selected="0">
            <x v="7"/>
          </reference>
        </references>
      </pivotArea>
    </format>
    <format dxfId="1906">
      <pivotArea field="0" dataOnly="0" labelOnly="1" grandRow="1" outline="0" axis="axisRow" fieldPosition="0">
        <references count="1">
          <reference field="4294967294" count="1" selected="0">
            <x v="8"/>
          </reference>
        </references>
      </pivotArea>
    </format>
    <format dxfId="1905">
      <pivotArea field="0" dataOnly="0" labelOnly="1" grandRow="1" outline="0" axis="axisRow" fieldPosition="0">
        <references count="1">
          <reference field="4294967294" count="1" selected="0">
            <x v="9"/>
          </reference>
        </references>
      </pivotArea>
    </format>
    <format dxfId="1904">
      <pivotArea field="0" dataOnly="0" labelOnly="1" grandRow="1" outline="0" axis="axisRow" fieldPosition="0">
        <references count="1">
          <reference field="4294967294" count="1" selected="0">
            <x v="10"/>
          </reference>
        </references>
      </pivotArea>
    </format>
    <format dxfId="1903">
      <pivotArea field="0" dataOnly="0" labelOnly="1" grandRow="1" outline="0" axis="axisRow" fieldPosition="0">
        <references count="1">
          <reference field="4294967294" count="1" selected="0">
            <x v="11"/>
          </reference>
        </references>
      </pivotArea>
    </format>
    <format dxfId="1902">
      <pivotArea field="0" dataOnly="0" labelOnly="1" grandRow="1" outline="0" axis="axisRow" fieldPosition="0">
        <references count="1">
          <reference field="4294967294" count="1" selected="0">
            <x v="12"/>
          </reference>
        </references>
      </pivotArea>
    </format>
    <format dxfId="1901">
      <pivotArea field="0" dataOnly="0" labelOnly="1" grandRow="1" outline="0" axis="axisRow" fieldPosition="0">
        <references count="1">
          <reference field="4294967294" count="1" selected="0">
            <x v="13"/>
          </reference>
        </references>
      </pivotArea>
    </format>
    <format dxfId="1900">
      <pivotArea field="0" dataOnly="0" labelOnly="1" grandRow="1" outline="0" axis="axisRow" fieldPosition="0">
        <references count="1">
          <reference field="4294967294" count="1" selected="0">
            <x v="14"/>
          </reference>
        </references>
      </pivotArea>
    </format>
    <format dxfId="1899">
      <pivotArea field="0" dataOnly="0" labelOnly="1" grandRow="1" outline="0" axis="axisRow" fieldPosition="0">
        <references count="1">
          <reference field="4294967294" count="1" selected="0">
            <x v="15"/>
          </reference>
        </references>
      </pivotArea>
    </format>
    <format dxfId="1898">
      <pivotArea field="0" dataOnly="0" labelOnly="1" grandRow="1" outline="0" axis="axisRow" fieldPosition="0">
        <references count="1">
          <reference field="4294967294" count="1" selected="0">
            <x v="16"/>
          </reference>
        </references>
      </pivotArea>
    </format>
    <format dxfId="1897">
      <pivotArea field="0" dataOnly="0" labelOnly="1" grandRow="1" outline="0" axis="axisRow" fieldPosition="0">
        <references count="1">
          <reference field="4294967294" count="1" selected="0">
            <x v="17"/>
          </reference>
        </references>
      </pivotArea>
    </format>
    <format dxfId="1896">
      <pivotArea field="0" dataOnly="0" labelOnly="1" grandRow="1" outline="0" axis="axisRow" fieldPosition="0">
        <references count="1">
          <reference field="4294967294" count="1" selected="0">
            <x v="18"/>
          </reference>
        </references>
      </pivotArea>
    </format>
    <format dxfId="1895">
      <pivotArea field="0" dataOnly="0" labelOnly="1" grandRow="1" outline="0" axis="axisRow" fieldPosition="0">
        <references count="1">
          <reference field="4294967294" count="1" selected="0">
            <x v="19"/>
          </reference>
        </references>
      </pivotArea>
    </format>
    <format dxfId="1894">
      <pivotArea field="0" dataOnly="0" labelOnly="1" grandRow="1" outline="0" axis="axisRow" fieldPosition="0">
        <references count="1">
          <reference field="4294967294" count="1" selected="0">
            <x v="20"/>
          </reference>
        </references>
      </pivotArea>
    </format>
    <format dxfId="1893">
      <pivotArea field="0" dataOnly="0" labelOnly="1" grandRow="1" outline="0" axis="axisRow" fieldPosition="0">
        <references count="1">
          <reference field="4294967294" count="1" selected="0">
            <x v="21"/>
          </reference>
        </references>
      </pivotArea>
    </format>
    <format dxfId="1892">
      <pivotArea field="0" dataOnly="0" labelOnly="1" grandRow="1" outline="0" axis="axisRow" fieldPosition="0">
        <references count="1">
          <reference field="4294967294" count="1" selected="0">
            <x v="22"/>
          </reference>
        </references>
      </pivotArea>
    </format>
    <format dxfId="1891">
      <pivotArea field="0" dataOnly="0" labelOnly="1" grandRow="1" outline="0" axis="axisRow" fieldPosition="0">
        <references count="1">
          <reference field="4294967294" count="1" selected="0">
            <x v="23"/>
          </reference>
        </references>
      </pivotArea>
    </format>
    <format dxfId="1890">
      <pivotArea field="0" dataOnly="0" labelOnly="1" grandRow="1" outline="0" axis="axisRow" fieldPosition="0">
        <references count="1">
          <reference field="4294967294" count="1" selected="0">
            <x v="24"/>
          </reference>
        </references>
      </pivotArea>
    </format>
    <format dxfId="1889">
      <pivotArea field="0" dataOnly="0" labelOnly="1" grandRow="1" outline="0" axis="axisRow" fieldPosition="0">
        <references count="1">
          <reference field="4294967294" count="1" selected="0">
            <x v="25"/>
          </reference>
        </references>
      </pivotArea>
    </format>
    <format dxfId="1888">
      <pivotArea field="0" dataOnly="0" labelOnly="1" grandRow="1" outline="0" axis="axisRow" fieldPosition="0">
        <references count="1">
          <reference field="4294967294" count="1" selected="0">
            <x v="26"/>
          </reference>
        </references>
      </pivotArea>
    </format>
    <format dxfId="1887">
      <pivotArea field="0" dataOnly="0" labelOnly="1" grandRow="1" outline="0" axis="axisRow" fieldPosition="0">
        <references count="1">
          <reference field="4294967294" count="1" selected="0">
            <x v="27"/>
          </reference>
        </references>
      </pivotArea>
    </format>
    <format dxfId="1886">
      <pivotArea field="0" dataOnly="0" labelOnly="1" grandRow="1" outline="0" axis="axisRow" fieldPosition="0">
        <references count="1">
          <reference field="4294967294" count="1" selected="0">
            <x v="28"/>
          </reference>
        </references>
      </pivotArea>
    </format>
    <format dxfId="1885">
      <pivotArea field="0" dataOnly="0" labelOnly="1" grandRow="1" outline="0" axis="axisRow" fieldPosition="0">
        <references count="1">
          <reference field="4294967294" count="1" selected="0">
            <x v="29"/>
          </reference>
        </references>
      </pivotArea>
    </format>
    <format dxfId="1884">
      <pivotArea field="0" dataOnly="0" labelOnly="1" grandRow="1" outline="0" axis="axisRow" fieldPosition="0">
        <references count="1">
          <reference field="4294967294" count="1" selected="0">
            <x v="30"/>
          </reference>
        </references>
      </pivotArea>
    </format>
    <format dxfId="1883">
      <pivotArea field="0" dataOnly="0" labelOnly="1" grandRow="1" outline="0" axis="axisRow" fieldPosition="0">
        <references count="1">
          <reference field="4294967294" count="1" selected="0">
            <x v="31"/>
          </reference>
        </references>
      </pivotArea>
    </format>
    <format dxfId="1882">
      <pivotArea field="0" dataOnly="0" labelOnly="1" grandRow="1" outline="0" axis="axisRow" fieldPosition="0">
        <references count="1">
          <reference field="4294967294" count="1" selected="0">
            <x v="32"/>
          </reference>
        </references>
      </pivotArea>
    </format>
    <format dxfId="1881">
      <pivotArea field="0" dataOnly="0" labelOnly="1" grandRow="1" outline="0" axis="axisRow" fieldPosition="0">
        <references count="1">
          <reference field="4294967294" count="1" selected="0">
            <x v="33"/>
          </reference>
        </references>
      </pivotArea>
    </format>
    <format dxfId="1880">
      <pivotArea field="0" dataOnly="0" labelOnly="1" grandRow="1" outline="0" axis="axisRow" fieldPosition="0">
        <references count="1">
          <reference field="4294967294" count="1" selected="0">
            <x v="34"/>
          </reference>
        </references>
      </pivotArea>
    </format>
    <format dxfId="1879">
      <pivotArea field="0" dataOnly="0" labelOnly="1" grandRow="1" outline="0" axis="axisRow" fieldPosition="0">
        <references count="1">
          <reference field="4294967294" count="1" selected="0">
            <x v="35"/>
          </reference>
        </references>
      </pivotArea>
    </format>
    <format dxfId="1878">
      <pivotArea field="0" dataOnly="0" labelOnly="1" grandRow="1" outline="0" axis="axisRow" fieldPosition="0">
        <references count="1">
          <reference field="4294967294" count="1" selected="0">
            <x v="0"/>
          </reference>
        </references>
      </pivotArea>
    </format>
    <format dxfId="1877">
      <pivotArea field="0" dataOnly="0" labelOnly="1" grandRow="1" outline="0" axis="axisRow" fieldPosition="0">
        <references count="1">
          <reference field="4294967294" count="1" selected="0">
            <x v="1"/>
          </reference>
        </references>
      </pivotArea>
    </format>
    <format dxfId="1876">
      <pivotArea field="0" dataOnly="0" labelOnly="1" grandRow="1" outline="0" axis="axisRow" fieldPosition="0">
        <references count="1">
          <reference field="4294967294" count="1" selected="0">
            <x v="2"/>
          </reference>
        </references>
      </pivotArea>
    </format>
    <format dxfId="1875">
      <pivotArea field="0" dataOnly="0" labelOnly="1" grandRow="1" outline="0" axis="axisRow" fieldPosition="0">
        <references count="1">
          <reference field="4294967294" count="1" selected="0">
            <x v="3"/>
          </reference>
        </references>
      </pivotArea>
    </format>
    <format dxfId="1874">
      <pivotArea field="0" dataOnly="0" labelOnly="1" grandRow="1" outline="0" axis="axisRow" fieldPosition="0">
        <references count="1">
          <reference field="4294967294" count="1" selected="0">
            <x v="4"/>
          </reference>
        </references>
      </pivotArea>
    </format>
    <format dxfId="1873">
      <pivotArea field="0" dataOnly="0" labelOnly="1" grandRow="1" outline="0" axis="axisRow" fieldPosition="0">
        <references count="1">
          <reference field="4294967294" count="1" selected="0">
            <x v="5"/>
          </reference>
        </references>
      </pivotArea>
    </format>
    <format dxfId="1872">
      <pivotArea field="0" dataOnly="0" labelOnly="1" grandRow="1" outline="0" axis="axisRow" fieldPosition="0">
        <references count="1">
          <reference field="4294967294" count="1" selected="0">
            <x v="6"/>
          </reference>
        </references>
      </pivotArea>
    </format>
    <format dxfId="1871">
      <pivotArea field="0" dataOnly="0" labelOnly="1" grandRow="1" outline="0" axis="axisRow" fieldPosition="0">
        <references count="1">
          <reference field="4294967294" count="1" selected="0">
            <x v="7"/>
          </reference>
        </references>
      </pivotArea>
    </format>
    <format dxfId="1870">
      <pivotArea field="0" dataOnly="0" labelOnly="1" grandRow="1" outline="0" axis="axisRow" fieldPosition="0">
        <references count="1">
          <reference field="4294967294" count="1" selected="0">
            <x v="8"/>
          </reference>
        </references>
      </pivotArea>
    </format>
    <format dxfId="1869">
      <pivotArea field="0" dataOnly="0" labelOnly="1" grandRow="1" outline="0" axis="axisRow" fieldPosition="0">
        <references count="1">
          <reference field="4294967294" count="1" selected="0">
            <x v="9"/>
          </reference>
        </references>
      </pivotArea>
    </format>
    <format dxfId="1868">
      <pivotArea field="0" dataOnly="0" labelOnly="1" grandRow="1" outline="0" axis="axisRow" fieldPosition="0">
        <references count="1">
          <reference field="4294967294" count="1" selected="0">
            <x v="10"/>
          </reference>
        </references>
      </pivotArea>
    </format>
    <format dxfId="1867">
      <pivotArea field="0" dataOnly="0" labelOnly="1" grandRow="1" outline="0" axis="axisRow" fieldPosition="0">
        <references count="1">
          <reference field="4294967294" count="1" selected="0">
            <x v="11"/>
          </reference>
        </references>
      </pivotArea>
    </format>
    <format dxfId="1866">
      <pivotArea field="0" dataOnly="0" labelOnly="1" grandRow="1" outline="0" axis="axisRow" fieldPosition="0">
        <references count="1">
          <reference field="4294967294" count="1" selected="0">
            <x v="12"/>
          </reference>
        </references>
      </pivotArea>
    </format>
    <format dxfId="1865">
      <pivotArea field="0" dataOnly="0" labelOnly="1" grandRow="1" outline="0" axis="axisRow" fieldPosition="0">
        <references count="1">
          <reference field="4294967294" count="1" selected="0">
            <x v="13"/>
          </reference>
        </references>
      </pivotArea>
    </format>
    <format dxfId="1864">
      <pivotArea field="0" dataOnly="0" labelOnly="1" grandRow="1" outline="0" axis="axisRow" fieldPosition="0">
        <references count="1">
          <reference field="4294967294" count="1" selected="0">
            <x v="14"/>
          </reference>
        </references>
      </pivotArea>
    </format>
    <format dxfId="1863">
      <pivotArea field="0" dataOnly="0" labelOnly="1" grandRow="1" outline="0" axis="axisRow" fieldPosition="0">
        <references count="1">
          <reference field="4294967294" count="1" selected="0">
            <x v="15"/>
          </reference>
        </references>
      </pivotArea>
    </format>
    <format dxfId="1862">
      <pivotArea field="0" dataOnly="0" labelOnly="1" grandRow="1" outline="0" axis="axisRow" fieldPosition="0">
        <references count="1">
          <reference field="4294967294" count="1" selected="0">
            <x v="16"/>
          </reference>
        </references>
      </pivotArea>
    </format>
    <format dxfId="1861">
      <pivotArea field="0" dataOnly="0" labelOnly="1" grandRow="1" outline="0" axis="axisRow" fieldPosition="0">
        <references count="1">
          <reference field="4294967294" count="1" selected="0">
            <x v="17"/>
          </reference>
        </references>
      </pivotArea>
    </format>
    <format dxfId="1860">
      <pivotArea field="0" dataOnly="0" labelOnly="1" grandRow="1" outline="0" axis="axisRow" fieldPosition="0">
        <references count="1">
          <reference field="4294967294" count="1" selected="0">
            <x v="18"/>
          </reference>
        </references>
      </pivotArea>
    </format>
    <format dxfId="1859">
      <pivotArea field="0" dataOnly="0" labelOnly="1" grandRow="1" outline="0" axis="axisRow" fieldPosition="0">
        <references count="1">
          <reference field="4294967294" count="1" selected="0">
            <x v="19"/>
          </reference>
        </references>
      </pivotArea>
    </format>
    <format dxfId="1858">
      <pivotArea field="0" dataOnly="0" labelOnly="1" grandRow="1" outline="0" axis="axisRow" fieldPosition="0">
        <references count="1">
          <reference field="4294967294" count="1" selected="0">
            <x v="20"/>
          </reference>
        </references>
      </pivotArea>
    </format>
    <format dxfId="1857">
      <pivotArea field="0" dataOnly="0" labelOnly="1" grandRow="1" outline="0" axis="axisRow" fieldPosition="0">
        <references count="1">
          <reference field="4294967294" count="1" selected="0">
            <x v="21"/>
          </reference>
        </references>
      </pivotArea>
    </format>
    <format dxfId="1856">
      <pivotArea field="0" dataOnly="0" labelOnly="1" grandRow="1" outline="0" axis="axisRow" fieldPosition="0">
        <references count="1">
          <reference field="4294967294" count="1" selected="0">
            <x v="22"/>
          </reference>
        </references>
      </pivotArea>
    </format>
    <format dxfId="1855">
      <pivotArea field="0" dataOnly="0" labelOnly="1" grandRow="1" outline="0" axis="axisRow" fieldPosition="0">
        <references count="1">
          <reference field="4294967294" count="1" selected="0">
            <x v="23"/>
          </reference>
        </references>
      </pivotArea>
    </format>
    <format dxfId="1854">
      <pivotArea field="0" dataOnly="0" labelOnly="1" grandRow="1" outline="0" axis="axisRow" fieldPosition="0">
        <references count="1">
          <reference field="4294967294" count="1" selected="0">
            <x v="24"/>
          </reference>
        </references>
      </pivotArea>
    </format>
    <format dxfId="1853">
      <pivotArea field="0" dataOnly="0" labelOnly="1" grandRow="1" outline="0" axis="axisRow" fieldPosition="0">
        <references count="1">
          <reference field="4294967294" count="1" selected="0">
            <x v="25"/>
          </reference>
        </references>
      </pivotArea>
    </format>
    <format dxfId="1852">
      <pivotArea field="0" dataOnly="0" labelOnly="1" grandRow="1" outline="0" axis="axisRow" fieldPosition="0">
        <references count="1">
          <reference field="4294967294" count="1" selected="0">
            <x v="26"/>
          </reference>
        </references>
      </pivotArea>
    </format>
    <format dxfId="1851">
      <pivotArea field="0" dataOnly="0" labelOnly="1" grandRow="1" outline="0" axis="axisRow" fieldPosition="0">
        <references count="1">
          <reference field="4294967294" count="1" selected="0">
            <x v="27"/>
          </reference>
        </references>
      </pivotArea>
    </format>
    <format dxfId="1850">
      <pivotArea field="0" dataOnly="0" labelOnly="1" grandRow="1" outline="0" axis="axisRow" fieldPosition="0">
        <references count="1">
          <reference field="4294967294" count="1" selected="0">
            <x v="28"/>
          </reference>
        </references>
      </pivotArea>
    </format>
    <format dxfId="1849">
      <pivotArea field="0" dataOnly="0" labelOnly="1" grandRow="1" outline="0" axis="axisRow" fieldPosition="0">
        <references count="1">
          <reference field="4294967294" count="1" selected="0">
            <x v="29"/>
          </reference>
        </references>
      </pivotArea>
    </format>
    <format dxfId="1848">
      <pivotArea field="0" dataOnly="0" labelOnly="1" grandRow="1" outline="0" axis="axisRow" fieldPosition="0">
        <references count="1">
          <reference field="4294967294" count="1" selected="0">
            <x v="30"/>
          </reference>
        </references>
      </pivotArea>
    </format>
    <format dxfId="1847">
      <pivotArea field="0" dataOnly="0" labelOnly="1" grandRow="1" outline="0" axis="axisRow" fieldPosition="0">
        <references count="1">
          <reference field="4294967294" count="1" selected="0">
            <x v="31"/>
          </reference>
        </references>
      </pivotArea>
    </format>
    <format dxfId="1846">
      <pivotArea field="0" dataOnly="0" labelOnly="1" grandRow="1" outline="0" axis="axisRow" fieldPosition="0">
        <references count="1">
          <reference field="4294967294" count="1" selected="0">
            <x v="32"/>
          </reference>
        </references>
      </pivotArea>
    </format>
    <format dxfId="1845">
      <pivotArea field="0" dataOnly="0" labelOnly="1" grandRow="1" outline="0" axis="axisRow" fieldPosition="0">
        <references count="1">
          <reference field="4294967294" count="1" selected="0">
            <x v="33"/>
          </reference>
        </references>
      </pivotArea>
    </format>
    <format dxfId="1844">
      <pivotArea field="0" dataOnly="0" labelOnly="1" grandRow="1" outline="0" axis="axisRow" fieldPosition="0">
        <references count="1">
          <reference field="4294967294" count="1" selected="0">
            <x v="34"/>
          </reference>
        </references>
      </pivotArea>
    </format>
    <format dxfId="1843">
      <pivotArea field="0" dataOnly="0" labelOnly="1" grandRow="1" outline="0" axis="axisRow" fieldPosition="0">
        <references count="1">
          <reference field="4294967294" count="1" selected="0">
            <x v="35"/>
          </reference>
        </references>
      </pivotArea>
    </format>
    <format dxfId="1842">
      <pivotArea field="0" dataOnly="0" labelOnly="1" grandRow="1" outline="0" axis="axisRow" fieldPosition="0">
        <references count="1">
          <reference field="4294967294" count="1" selected="0">
            <x v="0"/>
          </reference>
        </references>
      </pivotArea>
    </format>
    <format dxfId="1841">
      <pivotArea field="0" dataOnly="0" labelOnly="1" grandRow="1" outline="0" axis="axisRow" fieldPosition="0">
        <references count="1">
          <reference field="4294967294" count="1" selected="0">
            <x v="1"/>
          </reference>
        </references>
      </pivotArea>
    </format>
    <format dxfId="1840">
      <pivotArea field="0" dataOnly="0" labelOnly="1" grandRow="1" outline="0" axis="axisRow" fieldPosition="0">
        <references count="1">
          <reference field="4294967294" count="1" selected="0">
            <x v="2"/>
          </reference>
        </references>
      </pivotArea>
    </format>
    <format dxfId="1839">
      <pivotArea field="0" dataOnly="0" labelOnly="1" grandRow="1" outline="0" axis="axisRow" fieldPosition="0">
        <references count="1">
          <reference field="4294967294" count="1" selected="0">
            <x v="3"/>
          </reference>
        </references>
      </pivotArea>
    </format>
    <format dxfId="1838">
      <pivotArea field="0" dataOnly="0" labelOnly="1" grandRow="1" outline="0" axis="axisRow" fieldPosition="0">
        <references count="1">
          <reference field="4294967294" count="1" selected="0">
            <x v="4"/>
          </reference>
        </references>
      </pivotArea>
    </format>
    <format dxfId="1837">
      <pivotArea field="0" dataOnly="0" labelOnly="1" grandRow="1" outline="0" axis="axisRow" fieldPosition="0">
        <references count="1">
          <reference field="4294967294" count="1" selected="0">
            <x v="5"/>
          </reference>
        </references>
      </pivotArea>
    </format>
    <format dxfId="1836">
      <pivotArea field="0" dataOnly="0" labelOnly="1" grandRow="1" outline="0" axis="axisRow" fieldPosition="0">
        <references count="1">
          <reference field="4294967294" count="1" selected="0">
            <x v="6"/>
          </reference>
        </references>
      </pivotArea>
    </format>
    <format dxfId="1835">
      <pivotArea field="0" dataOnly="0" labelOnly="1" grandRow="1" outline="0" axis="axisRow" fieldPosition="0">
        <references count="1">
          <reference field="4294967294" count="1" selected="0">
            <x v="7"/>
          </reference>
        </references>
      </pivotArea>
    </format>
    <format dxfId="1834">
      <pivotArea field="0" dataOnly="0" labelOnly="1" grandRow="1" outline="0" axis="axisRow" fieldPosition="0">
        <references count="1">
          <reference field="4294967294" count="1" selected="0">
            <x v="8"/>
          </reference>
        </references>
      </pivotArea>
    </format>
    <format dxfId="1833">
      <pivotArea field="0" dataOnly="0" labelOnly="1" grandRow="1" outline="0" axis="axisRow" fieldPosition="0">
        <references count="1">
          <reference field="4294967294" count="1" selected="0">
            <x v="9"/>
          </reference>
        </references>
      </pivotArea>
    </format>
    <format dxfId="1832">
      <pivotArea field="0" dataOnly="0" labelOnly="1" grandRow="1" outline="0" axis="axisRow" fieldPosition="0">
        <references count="1">
          <reference field="4294967294" count="1" selected="0">
            <x v="10"/>
          </reference>
        </references>
      </pivotArea>
    </format>
    <format dxfId="1831">
      <pivotArea field="0" dataOnly="0" labelOnly="1" grandRow="1" outline="0" axis="axisRow" fieldPosition="0">
        <references count="1">
          <reference field="4294967294" count="1" selected="0">
            <x v="11"/>
          </reference>
        </references>
      </pivotArea>
    </format>
    <format dxfId="1830">
      <pivotArea field="0" dataOnly="0" labelOnly="1" grandRow="1" outline="0" axis="axisRow" fieldPosition="0">
        <references count="1">
          <reference field="4294967294" count="1" selected="0">
            <x v="12"/>
          </reference>
        </references>
      </pivotArea>
    </format>
    <format dxfId="1829">
      <pivotArea field="0" dataOnly="0" labelOnly="1" grandRow="1" outline="0" axis="axisRow" fieldPosition="0">
        <references count="1">
          <reference field="4294967294" count="1" selected="0">
            <x v="13"/>
          </reference>
        </references>
      </pivotArea>
    </format>
    <format dxfId="1828">
      <pivotArea field="0" dataOnly="0" labelOnly="1" grandRow="1" outline="0" axis="axisRow" fieldPosition="0">
        <references count="1">
          <reference field="4294967294" count="1" selected="0">
            <x v="14"/>
          </reference>
        </references>
      </pivotArea>
    </format>
    <format dxfId="1827">
      <pivotArea field="0" dataOnly="0" labelOnly="1" grandRow="1" outline="0" axis="axisRow" fieldPosition="0">
        <references count="1">
          <reference field="4294967294" count="1" selected="0">
            <x v="15"/>
          </reference>
        </references>
      </pivotArea>
    </format>
    <format dxfId="1826">
      <pivotArea field="0" dataOnly="0" labelOnly="1" grandRow="1" outline="0" axis="axisRow" fieldPosition="0">
        <references count="1">
          <reference field="4294967294" count="1" selected="0">
            <x v="16"/>
          </reference>
        </references>
      </pivotArea>
    </format>
    <format dxfId="1825">
      <pivotArea field="0" dataOnly="0" labelOnly="1" grandRow="1" outline="0" axis="axisRow" fieldPosition="0">
        <references count="1">
          <reference field="4294967294" count="1" selected="0">
            <x v="17"/>
          </reference>
        </references>
      </pivotArea>
    </format>
    <format dxfId="1824">
      <pivotArea field="0" dataOnly="0" labelOnly="1" grandRow="1" outline="0" axis="axisRow" fieldPosition="0">
        <references count="1">
          <reference field="4294967294" count="1" selected="0">
            <x v="18"/>
          </reference>
        </references>
      </pivotArea>
    </format>
    <format dxfId="1823">
      <pivotArea field="0" dataOnly="0" labelOnly="1" grandRow="1" outline="0" axis="axisRow" fieldPosition="0">
        <references count="1">
          <reference field="4294967294" count="1" selected="0">
            <x v="19"/>
          </reference>
        </references>
      </pivotArea>
    </format>
    <format dxfId="1822">
      <pivotArea field="0" dataOnly="0" labelOnly="1" grandRow="1" outline="0" axis="axisRow" fieldPosition="0">
        <references count="1">
          <reference field="4294967294" count="1" selected="0">
            <x v="20"/>
          </reference>
        </references>
      </pivotArea>
    </format>
    <format dxfId="1821">
      <pivotArea field="0" dataOnly="0" labelOnly="1" grandRow="1" outline="0" axis="axisRow" fieldPosition="0">
        <references count="1">
          <reference field="4294967294" count="1" selected="0">
            <x v="21"/>
          </reference>
        </references>
      </pivotArea>
    </format>
    <format dxfId="1820">
      <pivotArea field="0" dataOnly="0" labelOnly="1" grandRow="1" outline="0" axis="axisRow" fieldPosition="0">
        <references count="1">
          <reference field="4294967294" count="1" selected="0">
            <x v="22"/>
          </reference>
        </references>
      </pivotArea>
    </format>
    <format dxfId="1819">
      <pivotArea field="0" dataOnly="0" labelOnly="1" grandRow="1" outline="0" axis="axisRow" fieldPosition="0">
        <references count="1">
          <reference field="4294967294" count="1" selected="0">
            <x v="23"/>
          </reference>
        </references>
      </pivotArea>
    </format>
    <format dxfId="1818">
      <pivotArea field="0" dataOnly="0" labelOnly="1" grandRow="1" outline="0" axis="axisRow" fieldPosition="0">
        <references count="1">
          <reference field="4294967294" count="1" selected="0">
            <x v="24"/>
          </reference>
        </references>
      </pivotArea>
    </format>
    <format dxfId="1817">
      <pivotArea field="0" dataOnly="0" labelOnly="1" grandRow="1" outline="0" axis="axisRow" fieldPosition="0">
        <references count="1">
          <reference field="4294967294" count="1" selected="0">
            <x v="25"/>
          </reference>
        </references>
      </pivotArea>
    </format>
    <format dxfId="1816">
      <pivotArea field="0" dataOnly="0" labelOnly="1" grandRow="1" outline="0" axis="axisRow" fieldPosition="0">
        <references count="1">
          <reference field="4294967294" count="1" selected="0">
            <x v="26"/>
          </reference>
        </references>
      </pivotArea>
    </format>
    <format dxfId="1815">
      <pivotArea field="0" dataOnly="0" labelOnly="1" grandRow="1" outline="0" axis="axisRow" fieldPosition="0">
        <references count="1">
          <reference field="4294967294" count="1" selected="0">
            <x v="27"/>
          </reference>
        </references>
      </pivotArea>
    </format>
    <format dxfId="1814">
      <pivotArea field="0" dataOnly="0" labelOnly="1" grandRow="1" outline="0" axis="axisRow" fieldPosition="0">
        <references count="1">
          <reference field="4294967294" count="1" selected="0">
            <x v="28"/>
          </reference>
        </references>
      </pivotArea>
    </format>
    <format dxfId="1813">
      <pivotArea field="0" dataOnly="0" labelOnly="1" grandRow="1" outline="0" axis="axisRow" fieldPosition="0">
        <references count="1">
          <reference field="4294967294" count="1" selected="0">
            <x v="29"/>
          </reference>
        </references>
      </pivotArea>
    </format>
    <format dxfId="1812">
      <pivotArea field="0" dataOnly="0" labelOnly="1" grandRow="1" outline="0" axis="axisRow" fieldPosition="0">
        <references count="1">
          <reference field="4294967294" count="1" selected="0">
            <x v="30"/>
          </reference>
        </references>
      </pivotArea>
    </format>
    <format dxfId="1811">
      <pivotArea field="0" dataOnly="0" labelOnly="1" grandRow="1" outline="0" axis="axisRow" fieldPosition="0">
        <references count="1">
          <reference field="4294967294" count="1" selected="0">
            <x v="31"/>
          </reference>
        </references>
      </pivotArea>
    </format>
    <format dxfId="1810">
      <pivotArea field="0" dataOnly="0" labelOnly="1" grandRow="1" outline="0" axis="axisRow" fieldPosition="0">
        <references count="1">
          <reference field="4294967294" count="1" selected="0">
            <x v="32"/>
          </reference>
        </references>
      </pivotArea>
    </format>
    <format dxfId="1809">
      <pivotArea field="0" dataOnly="0" labelOnly="1" grandRow="1" outline="0" axis="axisRow" fieldPosition="0">
        <references count="1">
          <reference field="4294967294" count="1" selected="0">
            <x v="33"/>
          </reference>
        </references>
      </pivotArea>
    </format>
    <format dxfId="1808">
      <pivotArea field="0" dataOnly="0" labelOnly="1" grandRow="1" outline="0" axis="axisRow" fieldPosition="0">
        <references count="1">
          <reference field="4294967294" count="1" selected="0">
            <x v="34"/>
          </reference>
        </references>
      </pivotArea>
    </format>
    <format dxfId="1807">
      <pivotArea field="0" dataOnly="0" labelOnly="1" grandRow="1" outline="0" axis="axisRow" fieldPosition="0">
        <references count="1">
          <reference field="4294967294" count="1" selected="0">
            <x v="35"/>
          </reference>
        </references>
      </pivotArea>
    </format>
    <format dxfId="1806">
      <pivotArea field="0" dataOnly="0" labelOnly="1" grandRow="1" outline="0" axis="axisRow" fieldPosition="0">
        <references count="1">
          <reference field="4294967294" count="1" selected="0">
            <x v="0"/>
          </reference>
        </references>
      </pivotArea>
    </format>
    <format dxfId="1805">
      <pivotArea field="0" dataOnly="0" labelOnly="1" grandRow="1" outline="0" axis="axisRow" fieldPosition="0">
        <references count="1">
          <reference field="4294967294" count="1" selected="0">
            <x v="1"/>
          </reference>
        </references>
      </pivotArea>
    </format>
    <format dxfId="1804">
      <pivotArea field="0" dataOnly="0" labelOnly="1" grandRow="1" outline="0" axis="axisRow" fieldPosition="0">
        <references count="1">
          <reference field="4294967294" count="1" selected="0">
            <x v="2"/>
          </reference>
        </references>
      </pivotArea>
    </format>
    <format dxfId="1803">
      <pivotArea field="0" dataOnly="0" labelOnly="1" grandRow="1" outline="0" axis="axisRow" fieldPosition="0">
        <references count="1">
          <reference field="4294967294" count="1" selected="0">
            <x v="3"/>
          </reference>
        </references>
      </pivotArea>
    </format>
    <format dxfId="1802">
      <pivotArea field="0" dataOnly="0" labelOnly="1" grandRow="1" outline="0" axis="axisRow" fieldPosition="0">
        <references count="1">
          <reference field="4294967294" count="1" selected="0">
            <x v="4"/>
          </reference>
        </references>
      </pivotArea>
    </format>
    <format dxfId="1801">
      <pivotArea field="0" dataOnly="0" labelOnly="1" grandRow="1" outline="0" axis="axisRow" fieldPosition="0">
        <references count="1">
          <reference field="4294967294" count="1" selected="0">
            <x v="5"/>
          </reference>
        </references>
      </pivotArea>
    </format>
    <format dxfId="1800">
      <pivotArea field="0" dataOnly="0" labelOnly="1" grandRow="1" outline="0" axis="axisRow" fieldPosition="0">
        <references count="1">
          <reference field="4294967294" count="1" selected="0">
            <x v="6"/>
          </reference>
        </references>
      </pivotArea>
    </format>
    <format dxfId="1799">
      <pivotArea field="0" dataOnly="0" labelOnly="1" grandRow="1" outline="0" axis="axisRow" fieldPosition="0">
        <references count="1">
          <reference field="4294967294" count="1" selected="0">
            <x v="7"/>
          </reference>
        </references>
      </pivotArea>
    </format>
    <format dxfId="1798">
      <pivotArea field="0" dataOnly="0" labelOnly="1" grandRow="1" outline="0" axis="axisRow" fieldPosition="0">
        <references count="1">
          <reference field="4294967294" count="1" selected="0">
            <x v="8"/>
          </reference>
        </references>
      </pivotArea>
    </format>
    <format dxfId="1797">
      <pivotArea field="0" dataOnly="0" labelOnly="1" grandRow="1" outline="0" axis="axisRow" fieldPosition="0">
        <references count="1">
          <reference field="4294967294" count="1" selected="0">
            <x v="9"/>
          </reference>
        </references>
      </pivotArea>
    </format>
    <format dxfId="1796">
      <pivotArea field="0" dataOnly="0" labelOnly="1" grandRow="1" outline="0" axis="axisRow" fieldPosition="0">
        <references count="1">
          <reference field="4294967294" count="1" selected="0">
            <x v="10"/>
          </reference>
        </references>
      </pivotArea>
    </format>
    <format dxfId="1795">
      <pivotArea field="0" dataOnly="0" labelOnly="1" grandRow="1" outline="0" axis="axisRow" fieldPosition="0">
        <references count="1">
          <reference field="4294967294" count="1" selected="0">
            <x v="11"/>
          </reference>
        </references>
      </pivotArea>
    </format>
    <format dxfId="1794">
      <pivotArea field="0" dataOnly="0" labelOnly="1" grandRow="1" outline="0" axis="axisRow" fieldPosition="0">
        <references count="1">
          <reference field="4294967294" count="1" selected="0">
            <x v="12"/>
          </reference>
        </references>
      </pivotArea>
    </format>
    <format dxfId="1793">
      <pivotArea field="0" dataOnly="0" labelOnly="1" grandRow="1" outline="0" axis="axisRow" fieldPosition="0">
        <references count="1">
          <reference field="4294967294" count="1" selected="0">
            <x v="13"/>
          </reference>
        </references>
      </pivotArea>
    </format>
    <format dxfId="1792">
      <pivotArea field="0" dataOnly="0" labelOnly="1" grandRow="1" outline="0" axis="axisRow" fieldPosition="0">
        <references count="1">
          <reference field="4294967294" count="1" selected="0">
            <x v="14"/>
          </reference>
        </references>
      </pivotArea>
    </format>
    <format dxfId="1791">
      <pivotArea field="0" dataOnly="0" labelOnly="1" grandRow="1" outline="0" axis="axisRow" fieldPosition="0">
        <references count="1">
          <reference field="4294967294" count="1" selected="0">
            <x v="15"/>
          </reference>
        </references>
      </pivotArea>
    </format>
    <format dxfId="1790">
      <pivotArea field="0" dataOnly="0" labelOnly="1" grandRow="1" outline="0" axis="axisRow" fieldPosition="0">
        <references count="1">
          <reference field="4294967294" count="1" selected="0">
            <x v="16"/>
          </reference>
        </references>
      </pivotArea>
    </format>
    <format dxfId="1789">
      <pivotArea field="0" dataOnly="0" labelOnly="1" grandRow="1" outline="0" axis="axisRow" fieldPosition="0">
        <references count="1">
          <reference field="4294967294" count="1" selected="0">
            <x v="17"/>
          </reference>
        </references>
      </pivotArea>
    </format>
    <format dxfId="1788">
      <pivotArea field="0" dataOnly="0" labelOnly="1" grandRow="1" outline="0" axis="axisRow" fieldPosition="0">
        <references count="1">
          <reference field="4294967294" count="1" selected="0">
            <x v="18"/>
          </reference>
        </references>
      </pivotArea>
    </format>
    <format dxfId="1787">
      <pivotArea field="0" dataOnly="0" labelOnly="1" grandRow="1" outline="0" axis="axisRow" fieldPosition="0">
        <references count="1">
          <reference field="4294967294" count="1" selected="0">
            <x v="19"/>
          </reference>
        </references>
      </pivotArea>
    </format>
    <format dxfId="1786">
      <pivotArea field="0" dataOnly="0" labelOnly="1" grandRow="1" outline="0" axis="axisRow" fieldPosition="0">
        <references count="1">
          <reference field="4294967294" count="1" selected="0">
            <x v="20"/>
          </reference>
        </references>
      </pivotArea>
    </format>
    <format dxfId="1785">
      <pivotArea field="0" dataOnly="0" labelOnly="1" grandRow="1" outline="0" axis="axisRow" fieldPosition="0">
        <references count="1">
          <reference field="4294967294" count="1" selected="0">
            <x v="21"/>
          </reference>
        </references>
      </pivotArea>
    </format>
    <format dxfId="1784">
      <pivotArea field="0" dataOnly="0" labelOnly="1" grandRow="1" outline="0" axis="axisRow" fieldPosition="0">
        <references count="1">
          <reference field="4294967294" count="1" selected="0">
            <x v="22"/>
          </reference>
        </references>
      </pivotArea>
    </format>
    <format dxfId="1783">
      <pivotArea field="0" dataOnly="0" labelOnly="1" grandRow="1" outline="0" axis="axisRow" fieldPosition="0">
        <references count="1">
          <reference field="4294967294" count="1" selected="0">
            <x v="23"/>
          </reference>
        </references>
      </pivotArea>
    </format>
    <format dxfId="1782">
      <pivotArea field="0" dataOnly="0" labelOnly="1" grandRow="1" outline="0" axis="axisRow" fieldPosition="0">
        <references count="1">
          <reference field="4294967294" count="1" selected="0">
            <x v="24"/>
          </reference>
        </references>
      </pivotArea>
    </format>
    <format dxfId="1781">
      <pivotArea field="0" dataOnly="0" labelOnly="1" grandRow="1" outline="0" axis="axisRow" fieldPosition="0">
        <references count="1">
          <reference field="4294967294" count="1" selected="0">
            <x v="25"/>
          </reference>
        </references>
      </pivotArea>
    </format>
    <format dxfId="1780">
      <pivotArea field="0" dataOnly="0" labelOnly="1" grandRow="1" outline="0" axis="axisRow" fieldPosition="0">
        <references count="1">
          <reference field="4294967294" count="1" selected="0">
            <x v="26"/>
          </reference>
        </references>
      </pivotArea>
    </format>
    <format dxfId="1779">
      <pivotArea field="0" dataOnly="0" labelOnly="1" grandRow="1" outline="0" axis="axisRow" fieldPosition="0">
        <references count="1">
          <reference field="4294967294" count="1" selected="0">
            <x v="27"/>
          </reference>
        </references>
      </pivotArea>
    </format>
    <format dxfId="1778">
      <pivotArea field="0" dataOnly="0" labelOnly="1" grandRow="1" outline="0" axis="axisRow" fieldPosition="0">
        <references count="1">
          <reference field="4294967294" count="1" selected="0">
            <x v="28"/>
          </reference>
        </references>
      </pivotArea>
    </format>
    <format dxfId="1777">
      <pivotArea field="0" dataOnly="0" labelOnly="1" grandRow="1" outline="0" axis="axisRow" fieldPosition="0">
        <references count="1">
          <reference field="4294967294" count="1" selected="0">
            <x v="29"/>
          </reference>
        </references>
      </pivotArea>
    </format>
    <format dxfId="1776">
      <pivotArea field="0" dataOnly="0" labelOnly="1" grandRow="1" outline="0" axis="axisRow" fieldPosition="0">
        <references count="1">
          <reference field="4294967294" count="1" selected="0">
            <x v="30"/>
          </reference>
        </references>
      </pivotArea>
    </format>
    <format dxfId="1775">
      <pivotArea field="0" dataOnly="0" labelOnly="1" grandRow="1" outline="0" axis="axisRow" fieldPosition="0">
        <references count="1">
          <reference field="4294967294" count="1" selected="0">
            <x v="31"/>
          </reference>
        </references>
      </pivotArea>
    </format>
    <format dxfId="1774">
      <pivotArea field="0" dataOnly="0" labelOnly="1" grandRow="1" outline="0" axis="axisRow" fieldPosition="0">
        <references count="1">
          <reference field="4294967294" count="1" selected="0">
            <x v="32"/>
          </reference>
        </references>
      </pivotArea>
    </format>
    <format dxfId="1773">
      <pivotArea field="0" dataOnly="0" labelOnly="1" grandRow="1" outline="0" axis="axisRow" fieldPosition="0">
        <references count="1">
          <reference field="4294967294" count="1" selected="0">
            <x v="33"/>
          </reference>
        </references>
      </pivotArea>
    </format>
    <format dxfId="1772">
      <pivotArea field="0" dataOnly="0" labelOnly="1" grandRow="1" outline="0" axis="axisRow" fieldPosition="0">
        <references count="1">
          <reference field="4294967294" count="1" selected="0">
            <x v="34"/>
          </reference>
        </references>
      </pivotArea>
    </format>
    <format dxfId="1771">
      <pivotArea field="0" dataOnly="0" labelOnly="1" grandRow="1" outline="0" axis="axisRow" fieldPosition="0">
        <references count="1">
          <reference field="4294967294" count="1" selected="0">
            <x v="35"/>
          </reference>
        </references>
      </pivotArea>
    </format>
    <format dxfId="1770">
      <pivotArea field="0" dataOnly="0" labelOnly="1" grandRow="1" outline="0" axis="axisRow" fieldPosition="0">
        <references count="1">
          <reference field="4294967294" count="1" selected="0">
            <x v="0"/>
          </reference>
        </references>
      </pivotArea>
    </format>
    <format dxfId="1769">
      <pivotArea field="0" dataOnly="0" labelOnly="1" grandRow="1" outline="0" axis="axisRow" fieldPosition="0">
        <references count="1">
          <reference field="4294967294" count="1" selected="0">
            <x v="1"/>
          </reference>
        </references>
      </pivotArea>
    </format>
    <format dxfId="1768">
      <pivotArea field="0" dataOnly="0" labelOnly="1" grandRow="1" outline="0" axis="axisRow" fieldPosition="0">
        <references count="1">
          <reference field="4294967294" count="1" selected="0">
            <x v="2"/>
          </reference>
        </references>
      </pivotArea>
    </format>
    <format dxfId="1767">
      <pivotArea field="0" dataOnly="0" labelOnly="1" grandRow="1" outline="0" axis="axisRow" fieldPosition="0">
        <references count="1">
          <reference field="4294967294" count="1" selected="0">
            <x v="3"/>
          </reference>
        </references>
      </pivotArea>
    </format>
    <format dxfId="1766">
      <pivotArea field="0" dataOnly="0" labelOnly="1" grandRow="1" outline="0" axis="axisRow" fieldPosition="0">
        <references count="1">
          <reference field="4294967294" count="1" selected="0">
            <x v="4"/>
          </reference>
        </references>
      </pivotArea>
    </format>
    <format dxfId="1765">
      <pivotArea field="0" dataOnly="0" labelOnly="1" grandRow="1" outline="0" axis="axisRow" fieldPosition="0">
        <references count="1">
          <reference field="4294967294" count="1" selected="0">
            <x v="5"/>
          </reference>
        </references>
      </pivotArea>
    </format>
    <format dxfId="1764">
      <pivotArea field="0" dataOnly="0" labelOnly="1" grandRow="1" outline="0" axis="axisRow" fieldPosition="0">
        <references count="1">
          <reference field="4294967294" count="1" selected="0">
            <x v="6"/>
          </reference>
        </references>
      </pivotArea>
    </format>
    <format dxfId="1763">
      <pivotArea field="0" dataOnly="0" labelOnly="1" grandRow="1" outline="0" axis="axisRow" fieldPosition="0">
        <references count="1">
          <reference field="4294967294" count="1" selected="0">
            <x v="7"/>
          </reference>
        </references>
      </pivotArea>
    </format>
    <format dxfId="1762">
      <pivotArea field="0" dataOnly="0" labelOnly="1" grandRow="1" outline="0" axis="axisRow" fieldPosition="0">
        <references count="1">
          <reference field="4294967294" count="1" selected="0">
            <x v="8"/>
          </reference>
        </references>
      </pivotArea>
    </format>
    <format dxfId="1761">
      <pivotArea field="0" dataOnly="0" labelOnly="1" grandRow="1" outline="0" axis="axisRow" fieldPosition="0">
        <references count="1">
          <reference field="4294967294" count="1" selected="0">
            <x v="9"/>
          </reference>
        </references>
      </pivotArea>
    </format>
    <format dxfId="1760">
      <pivotArea field="0" dataOnly="0" labelOnly="1" grandRow="1" outline="0" axis="axisRow" fieldPosition="0">
        <references count="1">
          <reference field="4294967294" count="1" selected="0">
            <x v="10"/>
          </reference>
        </references>
      </pivotArea>
    </format>
    <format dxfId="1759">
      <pivotArea field="0" dataOnly="0" labelOnly="1" grandRow="1" outline="0" axis="axisRow" fieldPosition="0">
        <references count="1">
          <reference field="4294967294" count="1" selected="0">
            <x v="11"/>
          </reference>
        </references>
      </pivotArea>
    </format>
    <format dxfId="1758">
      <pivotArea field="0" dataOnly="0" labelOnly="1" grandRow="1" outline="0" axis="axisRow" fieldPosition="0">
        <references count="1">
          <reference field="4294967294" count="1" selected="0">
            <x v="12"/>
          </reference>
        </references>
      </pivotArea>
    </format>
    <format dxfId="1757">
      <pivotArea field="0" dataOnly="0" labelOnly="1" grandRow="1" outline="0" axis="axisRow" fieldPosition="0">
        <references count="1">
          <reference field="4294967294" count="1" selected="0">
            <x v="13"/>
          </reference>
        </references>
      </pivotArea>
    </format>
    <format dxfId="1756">
      <pivotArea field="0" dataOnly="0" labelOnly="1" grandRow="1" outline="0" axis="axisRow" fieldPosition="0">
        <references count="1">
          <reference field="4294967294" count="1" selected="0">
            <x v="14"/>
          </reference>
        </references>
      </pivotArea>
    </format>
    <format dxfId="1755">
      <pivotArea field="0" dataOnly="0" labelOnly="1" grandRow="1" outline="0" axis="axisRow" fieldPosition="0">
        <references count="1">
          <reference field="4294967294" count="1" selected="0">
            <x v="15"/>
          </reference>
        </references>
      </pivotArea>
    </format>
    <format dxfId="1754">
      <pivotArea field="0" dataOnly="0" labelOnly="1" grandRow="1" outline="0" axis="axisRow" fieldPosition="0">
        <references count="1">
          <reference field="4294967294" count="1" selected="0">
            <x v="16"/>
          </reference>
        </references>
      </pivotArea>
    </format>
    <format dxfId="1753">
      <pivotArea field="0" dataOnly="0" labelOnly="1" grandRow="1" outline="0" axis="axisRow" fieldPosition="0">
        <references count="1">
          <reference field="4294967294" count="1" selected="0">
            <x v="17"/>
          </reference>
        </references>
      </pivotArea>
    </format>
    <format dxfId="1752">
      <pivotArea field="0" dataOnly="0" labelOnly="1" grandRow="1" outline="0" axis="axisRow" fieldPosition="0">
        <references count="1">
          <reference field="4294967294" count="1" selected="0">
            <x v="18"/>
          </reference>
        </references>
      </pivotArea>
    </format>
    <format dxfId="1751">
      <pivotArea field="0" dataOnly="0" labelOnly="1" grandRow="1" outline="0" axis="axisRow" fieldPosition="0">
        <references count="1">
          <reference field="4294967294" count="1" selected="0">
            <x v="19"/>
          </reference>
        </references>
      </pivotArea>
    </format>
    <format dxfId="1750">
      <pivotArea field="0" dataOnly="0" labelOnly="1" grandRow="1" outline="0" axis="axisRow" fieldPosition="0">
        <references count="1">
          <reference field="4294967294" count="1" selected="0">
            <x v="20"/>
          </reference>
        </references>
      </pivotArea>
    </format>
    <format dxfId="1749">
      <pivotArea field="0" dataOnly="0" labelOnly="1" grandRow="1" outline="0" axis="axisRow" fieldPosition="0">
        <references count="1">
          <reference field="4294967294" count="1" selected="0">
            <x v="21"/>
          </reference>
        </references>
      </pivotArea>
    </format>
    <format dxfId="1748">
      <pivotArea field="0" dataOnly="0" labelOnly="1" grandRow="1" outline="0" axis="axisRow" fieldPosition="0">
        <references count="1">
          <reference field="4294967294" count="1" selected="0">
            <x v="22"/>
          </reference>
        </references>
      </pivotArea>
    </format>
    <format dxfId="1747">
      <pivotArea field="0" dataOnly="0" labelOnly="1" grandRow="1" outline="0" axis="axisRow" fieldPosition="0">
        <references count="1">
          <reference field="4294967294" count="1" selected="0">
            <x v="23"/>
          </reference>
        </references>
      </pivotArea>
    </format>
    <format dxfId="1746">
      <pivotArea field="0" dataOnly="0" labelOnly="1" grandRow="1" outline="0" axis="axisRow" fieldPosition="0">
        <references count="1">
          <reference field="4294967294" count="1" selected="0">
            <x v="24"/>
          </reference>
        </references>
      </pivotArea>
    </format>
    <format dxfId="1745">
      <pivotArea field="0" dataOnly="0" labelOnly="1" grandRow="1" outline="0" axis="axisRow" fieldPosition="0">
        <references count="1">
          <reference field="4294967294" count="1" selected="0">
            <x v="25"/>
          </reference>
        </references>
      </pivotArea>
    </format>
    <format dxfId="1744">
      <pivotArea field="0" dataOnly="0" labelOnly="1" grandRow="1" outline="0" axis="axisRow" fieldPosition="0">
        <references count="1">
          <reference field="4294967294" count="1" selected="0">
            <x v="26"/>
          </reference>
        </references>
      </pivotArea>
    </format>
    <format dxfId="1743">
      <pivotArea field="0" dataOnly="0" labelOnly="1" grandRow="1" outline="0" axis="axisRow" fieldPosition="0">
        <references count="1">
          <reference field="4294967294" count="1" selected="0">
            <x v="27"/>
          </reference>
        </references>
      </pivotArea>
    </format>
    <format dxfId="1742">
      <pivotArea field="0" dataOnly="0" labelOnly="1" grandRow="1" outline="0" axis="axisRow" fieldPosition="0">
        <references count="1">
          <reference field="4294967294" count="1" selected="0">
            <x v="28"/>
          </reference>
        </references>
      </pivotArea>
    </format>
    <format dxfId="1741">
      <pivotArea field="0" dataOnly="0" labelOnly="1" grandRow="1" outline="0" axis="axisRow" fieldPosition="0">
        <references count="1">
          <reference field="4294967294" count="1" selected="0">
            <x v="29"/>
          </reference>
        </references>
      </pivotArea>
    </format>
    <format dxfId="1740">
      <pivotArea field="0" dataOnly="0" labelOnly="1" grandRow="1" outline="0" axis="axisRow" fieldPosition="0">
        <references count="1">
          <reference field="4294967294" count="1" selected="0">
            <x v="30"/>
          </reference>
        </references>
      </pivotArea>
    </format>
    <format dxfId="1739">
      <pivotArea field="0" dataOnly="0" labelOnly="1" grandRow="1" outline="0" axis="axisRow" fieldPosition="0">
        <references count="1">
          <reference field="4294967294" count="1" selected="0">
            <x v="31"/>
          </reference>
        </references>
      </pivotArea>
    </format>
    <format dxfId="1738">
      <pivotArea field="0" dataOnly="0" labelOnly="1" grandRow="1" outline="0" axis="axisRow" fieldPosition="0">
        <references count="1">
          <reference field="4294967294" count="1" selected="0">
            <x v="32"/>
          </reference>
        </references>
      </pivotArea>
    </format>
    <format dxfId="1737">
      <pivotArea field="0" dataOnly="0" labelOnly="1" grandRow="1" outline="0" axis="axisRow" fieldPosition="0">
        <references count="1">
          <reference field="4294967294" count="1" selected="0">
            <x v="33"/>
          </reference>
        </references>
      </pivotArea>
    </format>
    <format dxfId="1736">
      <pivotArea field="0" dataOnly="0" labelOnly="1" grandRow="1" outline="0" axis="axisRow" fieldPosition="0">
        <references count="1">
          <reference field="4294967294" count="1" selected="0">
            <x v="34"/>
          </reference>
        </references>
      </pivotArea>
    </format>
    <format dxfId="1735">
      <pivotArea field="0" dataOnly="0" labelOnly="1" grandRow="1" outline="0" axis="axisRow" fieldPosition="0">
        <references count="1">
          <reference field="4294967294" count="1" selected="0">
            <x v="35"/>
          </reference>
        </references>
      </pivotArea>
    </format>
    <format dxfId="1734">
      <pivotArea field="0" dataOnly="0" labelOnly="1" grandRow="1" outline="0" axis="axisRow" fieldPosition="0">
        <references count="1">
          <reference field="4294967294" count="1" selected="0">
            <x v="0"/>
          </reference>
        </references>
      </pivotArea>
    </format>
    <format dxfId="1733">
      <pivotArea field="0" dataOnly="0" labelOnly="1" grandRow="1" outline="0" axis="axisRow" fieldPosition="0">
        <references count="1">
          <reference field="4294967294" count="1" selected="0">
            <x v="1"/>
          </reference>
        </references>
      </pivotArea>
    </format>
    <format dxfId="1732">
      <pivotArea field="0" dataOnly="0" labelOnly="1" grandRow="1" outline="0" axis="axisRow" fieldPosition="0">
        <references count="1">
          <reference field="4294967294" count="1" selected="0">
            <x v="2"/>
          </reference>
        </references>
      </pivotArea>
    </format>
    <format dxfId="1731">
      <pivotArea field="0" dataOnly="0" labelOnly="1" grandRow="1" outline="0" axis="axisRow" fieldPosition="0">
        <references count="1">
          <reference field="4294967294" count="1" selected="0">
            <x v="3"/>
          </reference>
        </references>
      </pivotArea>
    </format>
    <format dxfId="1730">
      <pivotArea field="0" dataOnly="0" labelOnly="1" grandRow="1" outline="0" axis="axisRow" fieldPosition="0">
        <references count="1">
          <reference field="4294967294" count="1" selected="0">
            <x v="4"/>
          </reference>
        </references>
      </pivotArea>
    </format>
    <format dxfId="1729">
      <pivotArea field="0" dataOnly="0" labelOnly="1" grandRow="1" outline="0" axis="axisRow" fieldPosition="0">
        <references count="1">
          <reference field="4294967294" count="1" selected="0">
            <x v="5"/>
          </reference>
        </references>
      </pivotArea>
    </format>
    <format dxfId="1728">
      <pivotArea field="0" dataOnly="0" labelOnly="1" grandRow="1" outline="0" axis="axisRow" fieldPosition="0">
        <references count="1">
          <reference field="4294967294" count="1" selected="0">
            <x v="6"/>
          </reference>
        </references>
      </pivotArea>
    </format>
    <format dxfId="1727">
      <pivotArea field="0" dataOnly="0" labelOnly="1" grandRow="1" outline="0" axis="axisRow" fieldPosition="0">
        <references count="1">
          <reference field="4294967294" count="1" selected="0">
            <x v="7"/>
          </reference>
        </references>
      </pivotArea>
    </format>
    <format dxfId="1726">
      <pivotArea field="0" dataOnly="0" labelOnly="1" grandRow="1" outline="0" axis="axisRow" fieldPosition="0">
        <references count="1">
          <reference field="4294967294" count="1" selected="0">
            <x v="8"/>
          </reference>
        </references>
      </pivotArea>
    </format>
    <format dxfId="1725">
      <pivotArea field="0" dataOnly="0" labelOnly="1" grandRow="1" outline="0" axis="axisRow" fieldPosition="0">
        <references count="1">
          <reference field="4294967294" count="1" selected="0">
            <x v="9"/>
          </reference>
        </references>
      </pivotArea>
    </format>
    <format dxfId="1724">
      <pivotArea field="0" dataOnly="0" labelOnly="1" grandRow="1" outline="0" axis="axisRow" fieldPosition="0">
        <references count="1">
          <reference field="4294967294" count="1" selected="0">
            <x v="10"/>
          </reference>
        </references>
      </pivotArea>
    </format>
    <format dxfId="1723">
      <pivotArea field="0" dataOnly="0" labelOnly="1" grandRow="1" outline="0" axis="axisRow" fieldPosition="0">
        <references count="1">
          <reference field="4294967294" count="1" selected="0">
            <x v="11"/>
          </reference>
        </references>
      </pivotArea>
    </format>
    <format dxfId="1722">
      <pivotArea field="0" dataOnly="0" labelOnly="1" grandRow="1" outline="0" axis="axisRow" fieldPosition="0">
        <references count="1">
          <reference field="4294967294" count="1" selected="0">
            <x v="12"/>
          </reference>
        </references>
      </pivotArea>
    </format>
    <format dxfId="1721">
      <pivotArea field="0" dataOnly="0" labelOnly="1" grandRow="1" outline="0" axis="axisRow" fieldPosition="0">
        <references count="1">
          <reference field="4294967294" count="1" selected="0">
            <x v="13"/>
          </reference>
        </references>
      </pivotArea>
    </format>
    <format dxfId="1720">
      <pivotArea field="0" dataOnly="0" labelOnly="1" grandRow="1" outline="0" axis="axisRow" fieldPosition="0">
        <references count="1">
          <reference field="4294967294" count="1" selected="0">
            <x v="14"/>
          </reference>
        </references>
      </pivotArea>
    </format>
    <format dxfId="1719">
      <pivotArea field="0" dataOnly="0" labelOnly="1" grandRow="1" outline="0" axis="axisRow" fieldPosition="0">
        <references count="1">
          <reference field="4294967294" count="1" selected="0">
            <x v="15"/>
          </reference>
        </references>
      </pivotArea>
    </format>
    <format dxfId="1718">
      <pivotArea field="0" dataOnly="0" labelOnly="1" grandRow="1" outline="0" axis="axisRow" fieldPosition="0">
        <references count="1">
          <reference field="4294967294" count="1" selected="0">
            <x v="16"/>
          </reference>
        </references>
      </pivotArea>
    </format>
    <format dxfId="1717">
      <pivotArea field="0" dataOnly="0" labelOnly="1" grandRow="1" outline="0" axis="axisRow" fieldPosition="0">
        <references count="1">
          <reference field="4294967294" count="1" selected="0">
            <x v="17"/>
          </reference>
        </references>
      </pivotArea>
    </format>
    <format dxfId="1716">
      <pivotArea field="0" dataOnly="0" labelOnly="1" grandRow="1" outline="0" axis="axisRow" fieldPosition="0">
        <references count="1">
          <reference field="4294967294" count="1" selected="0">
            <x v="18"/>
          </reference>
        </references>
      </pivotArea>
    </format>
    <format dxfId="1715">
      <pivotArea field="0" dataOnly="0" labelOnly="1" grandRow="1" outline="0" axis="axisRow" fieldPosition="0">
        <references count="1">
          <reference field="4294967294" count="1" selected="0">
            <x v="19"/>
          </reference>
        </references>
      </pivotArea>
    </format>
    <format dxfId="1714">
      <pivotArea field="0" dataOnly="0" labelOnly="1" grandRow="1" outline="0" axis="axisRow" fieldPosition="0">
        <references count="1">
          <reference field="4294967294" count="1" selected="0">
            <x v="20"/>
          </reference>
        </references>
      </pivotArea>
    </format>
    <format dxfId="1713">
      <pivotArea field="0" dataOnly="0" labelOnly="1" grandRow="1" outline="0" axis="axisRow" fieldPosition="0">
        <references count="1">
          <reference field="4294967294" count="1" selected="0">
            <x v="21"/>
          </reference>
        </references>
      </pivotArea>
    </format>
    <format dxfId="1712">
      <pivotArea field="0" dataOnly="0" labelOnly="1" grandRow="1" outline="0" axis="axisRow" fieldPosition="0">
        <references count="1">
          <reference field="4294967294" count="1" selected="0">
            <x v="22"/>
          </reference>
        </references>
      </pivotArea>
    </format>
    <format dxfId="1711">
      <pivotArea field="0" dataOnly="0" labelOnly="1" grandRow="1" outline="0" axis="axisRow" fieldPosition="0">
        <references count="1">
          <reference field="4294967294" count="1" selected="0">
            <x v="23"/>
          </reference>
        </references>
      </pivotArea>
    </format>
    <format dxfId="1710">
      <pivotArea field="0" dataOnly="0" labelOnly="1" grandRow="1" outline="0" axis="axisRow" fieldPosition="0">
        <references count="1">
          <reference field="4294967294" count="1" selected="0">
            <x v="24"/>
          </reference>
        </references>
      </pivotArea>
    </format>
    <format dxfId="1709">
      <pivotArea field="0" dataOnly="0" labelOnly="1" grandRow="1" outline="0" axis="axisRow" fieldPosition="0">
        <references count="1">
          <reference field="4294967294" count="1" selected="0">
            <x v="25"/>
          </reference>
        </references>
      </pivotArea>
    </format>
    <format dxfId="1708">
      <pivotArea field="0" dataOnly="0" labelOnly="1" grandRow="1" outline="0" axis="axisRow" fieldPosition="0">
        <references count="1">
          <reference field="4294967294" count="1" selected="0">
            <x v="26"/>
          </reference>
        </references>
      </pivotArea>
    </format>
    <format dxfId="1707">
      <pivotArea field="0" dataOnly="0" labelOnly="1" grandRow="1" outline="0" axis="axisRow" fieldPosition="0">
        <references count="1">
          <reference field="4294967294" count="1" selected="0">
            <x v="27"/>
          </reference>
        </references>
      </pivotArea>
    </format>
    <format dxfId="1706">
      <pivotArea field="0" dataOnly="0" labelOnly="1" grandRow="1" outline="0" axis="axisRow" fieldPosition="0">
        <references count="1">
          <reference field="4294967294" count="1" selected="0">
            <x v="28"/>
          </reference>
        </references>
      </pivotArea>
    </format>
    <format dxfId="1705">
      <pivotArea field="0" dataOnly="0" labelOnly="1" grandRow="1" outline="0" axis="axisRow" fieldPosition="0">
        <references count="1">
          <reference field="4294967294" count="1" selected="0">
            <x v="29"/>
          </reference>
        </references>
      </pivotArea>
    </format>
    <format dxfId="1704">
      <pivotArea field="0" dataOnly="0" labelOnly="1" grandRow="1" outline="0" axis="axisRow" fieldPosition="0">
        <references count="1">
          <reference field="4294967294" count="1" selected="0">
            <x v="30"/>
          </reference>
        </references>
      </pivotArea>
    </format>
    <format dxfId="1703">
      <pivotArea field="0" dataOnly="0" labelOnly="1" grandRow="1" outline="0" axis="axisRow" fieldPosition="0">
        <references count="1">
          <reference field="4294967294" count="1" selected="0">
            <x v="31"/>
          </reference>
        </references>
      </pivotArea>
    </format>
    <format dxfId="1702">
      <pivotArea field="0" dataOnly="0" labelOnly="1" grandRow="1" outline="0" axis="axisRow" fieldPosition="0">
        <references count="1">
          <reference field="4294967294" count="1" selected="0">
            <x v="32"/>
          </reference>
        </references>
      </pivotArea>
    </format>
    <format dxfId="1701">
      <pivotArea field="0" dataOnly="0" labelOnly="1" grandRow="1" outline="0" axis="axisRow" fieldPosition="0">
        <references count="1">
          <reference field="4294967294" count="1" selected="0">
            <x v="33"/>
          </reference>
        </references>
      </pivotArea>
    </format>
    <format dxfId="1700">
      <pivotArea field="0" dataOnly="0" labelOnly="1" grandRow="1" outline="0" axis="axisRow" fieldPosition="0">
        <references count="1">
          <reference field="4294967294" count="1" selected="0">
            <x v="34"/>
          </reference>
        </references>
      </pivotArea>
    </format>
    <format dxfId="1699">
      <pivotArea field="0" dataOnly="0" labelOnly="1" grandRow="1" outline="0" axis="axisRow" fieldPosition="0">
        <references count="1">
          <reference field="4294967294" count="1" selected="0">
            <x v="35"/>
          </reference>
        </references>
      </pivotArea>
    </format>
    <format dxfId="1698">
      <pivotArea field="0" dataOnly="0" labelOnly="1" grandRow="1" outline="0" axis="axisRow" fieldPosition="0">
        <references count="1">
          <reference field="4294967294" count="1" selected="0">
            <x v="0"/>
          </reference>
        </references>
      </pivotArea>
    </format>
    <format dxfId="1697">
      <pivotArea field="0" dataOnly="0" labelOnly="1" grandRow="1" outline="0" axis="axisRow" fieldPosition="0">
        <references count="1">
          <reference field="4294967294" count="1" selected="0">
            <x v="1"/>
          </reference>
        </references>
      </pivotArea>
    </format>
    <format dxfId="1696">
      <pivotArea field="0" dataOnly="0" labelOnly="1" grandRow="1" outline="0" axis="axisRow" fieldPosition="0">
        <references count="1">
          <reference field="4294967294" count="1" selected="0">
            <x v="2"/>
          </reference>
        </references>
      </pivotArea>
    </format>
    <format dxfId="1695">
      <pivotArea field="0" dataOnly="0" labelOnly="1" grandRow="1" outline="0" axis="axisRow" fieldPosition="0">
        <references count="1">
          <reference field="4294967294" count="1" selected="0">
            <x v="3"/>
          </reference>
        </references>
      </pivotArea>
    </format>
    <format dxfId="1694">
      <pivotArea field="0" dataOnly="0" labelOnly="1" grandRow="1" outline="0" axis="axisRow" fieldPosition="0">
        <references count="1">
          <reference field="4294967294" count="1" selected="0">
            <x v="4"/>
          </reference>
        </references>
      </pivotArea>
    </format>
    <format dxfId="1693">
      <pivotArea field="0" dataOnly="0" labelOnly="1" grandRow="1" outline="0" axis="axisRow" fieldPosition="0">
        <references count="1">
          <reference field="4294967294" count="1" selected="0">
            <x v="5"/>
          </reference>
        </references>
      </pivotArea>
    </format>
    <format dxfId="1692">
      <pivotArea field="0" dataOnly="0" labelOnly="1" grandRow="1" outline="0" axis="axisRow" fieldPosition="0">
        <references count="1">
          <reference field="4294967294" count="1" selected="0">
            <x v="6"/>
          </reference>
        </references>
      </pivotArea>
    </format>
    <format dxfId="1691">
      <pivotArea field="0" dataOnly="0" labelOnly="1" grandRow="1" outline="0" axis="axisRow" fieldPosition="0">
        <references count="1">
          <reference field="4294967294" count="1" selected="0">
            <x v="7"/>
          </reference>
        </references>
      </pivotArea>
    </format>
    <format dxfId="1690">
      <pivotArea field="0" dataOnly="0" labelOnly="1" grandRow="1" outline="0" axis="axisRow" fieldPosition="0">
        <references count="1">
          <reference field="4294967294" count="1" selected="0">
            <x v="8"/>
          </reference>
        </references>
      </pivotArea>
    </format>
    <format dxfId="1689">
      <pivotArea field="0" dataOnly="0" labelOnly="1" grandRow="1" outline="0" axis="axisRow" fieldPosition="0">
        <references count="1">
          <reference field="4294967294" count="1" selected="0">
            <x v="9"/>
          </reference>
        </references>
      </pivotArea>
    </format>
    <format dxfId="1688">
      <pivotArea field="0" dataOnly="0" labelOnly="1" grandRow="1" outline="0" axis="axisRow" fieldPosition="0">
        <references count="1">
          <reference field="4294967294" count="1" selected="0">
            <x v="10"/>
          </reference>
        </references>
      </pivotArea>
    </format>
    <format dxfId="1687">
      <pivotArea field="0" dataOnly="0" labelOnly="1" grandRow="1" outline="0" axis="axisRow" fieldPosition="0">
        <references count="1">
          <reference field="4294967294" count="1" selected="0">
            <x v="11"/>
          </reference>
        </references>
      </pivotArea>
    </format>
    <format dxfId="1686">
      <pivotArea field="0" dataOnly="0" labelOnly="1" grandRow="1" outline="0" axis="axisRow" fieldPosition="0">
        <references count="1">
          <reference field="4294967294" count="1" selected="0">
            <x v="12"/>
          </reference>
        </references>
      </pivotArea>
    </format>
    <format dxfId="1685">
      <pivotArea field="0" dataOnly="0" labelOnly="1" grandRow="1" outline="0" axis="axisRow" fieldPosition="0">
        <references count="1">
          <reference field="4294967294" count="1" selected="0">
            <x v="13"/>
          </reference>
        </references>
      </pivotArea>
    </format>
    <format dxfId="1684">
      <pivotArea field="0" dataOnly="0" labelOnly="1" grandRow="1" outline="0" axis="axisRow" fieldPosition="0">
        <references count="1">
          <reference field="4294967294" count="1" selected="0">
            <x v="14"/>
          </reference>
        </references>
      </pivotArea>
    </format>
    <format dxfId="1683">
      <pivotArea field="0" dataOnly="0" labelOnly="1" grandRow="1" outline="0" axis="axisRow" fieldPosition="0">
        <references count="1">
          <reference field="4294967294" count="1" selected="0">
            <x v="15"/>
          </reference>
        </references>
      </pivotArea>
    </format>
    <format dxfId="1682">
      <pivotArea field="0" dataOnly="0" labelOnly="1" grandRow="1" outline="0" axis="axisRow" fieldPosition="0">
        <references count="1">
          <reference field="4294967294" count="1" selected="0">
            <x v="16"/>
          </reference>
        </references>
      </pivotArea>
    </format>
    <format dxfId="1681">
      <pivotArea field="0" dataOnly="0" labelOnly="1" grandRow="1" outline="0" axis="axisRow" fieldPosition="0">
        <references count="1">
          <reference field="4294967294" count="1" selected="0">
            <x v="17"/>
          </reference>
        </references>
      </pivotArea>
    </format>
    <format dxfId="1680">
      <pivotArea field="0" dataOnly="0" labelOnly="1" grandRow="1" outline="0" axis="axisRow" fieldPosition="0">
        <references count="1">
          <reference field="4294967294" count="1" selected="0">
            <x v="18"/>
          </reference>
        </references>
      </pivotArea>
    </format>
    <format dxfId="1679">
      <pivotArea field="0" dataOnly="0" labelOnly="1" grandRow="1" outline="0" axis="axisRow" fieldPosition="0">
        <references count="1">
          <reference field="4294967294" count="1" selected="0">
            <x v="19"/>
          </reference>
        </references>
      </pivotArea>
    </format>
    <format dxfId="1678">
      <pivotArea field="0" dataOnly="0" labelOnly="1" grandRow="1" outline="0" axis="axisRow" fieldPosition="0">
        <references count="1">
          <reference field="4294967294" count="1" selected="0">
            <x v="20"/>
          </reference>
        </references>
      </pivotArea>
    </format>
    <format dxfId="1677">
      <pivotArea field="0" dataOnly="0" labelOnly="1" grandRow="1" outline="0" axis="axisRow" fieldPosition="0">
        <references count="1">
          <reference field="4294967294" count="1" selected="0">
            <x v="21"/>
          </reference>
        </references>
      </pivotArea>
    </format>
    <format dxfId="1676">
      <pivotArea field="0" dataOnly="0" labelOnly="1" grandRow="1" outline="0" axis="axisRow" fieldPosition="0">
        <references count="1">
          <reference field="4294967294" count="1" selected="0">
            <x v="22"/>
          </reference>
        </references>
      </pivotArea>
    </format>
    <format dxfId="1675">
      <pivotArea field="0" dataOnly="0" labelOnly="1" grandRow="1" outline="0" axis="axisRow" fieldPosition="0">
        <references count="1">
          <reference field="4294967294" count="1" selected="0">
            <x v="23"/>
          </reference>
        </references>
      </pivotArea>
    </format>
    <format dxfId="1674">
      <pivotArea field="0" dataOnly="0" labelOnly="1" grandRow="1" outline="0" axis="axisRow" fieldPosition="0">
        <references count="1">
          <reference field="4294967294" count="1" selected="0">
            <x v="24"/>
          </reference>
        </references>
      </pivotArea>
    </format>
    <format dxfId="1673">
      <pivotArea field="0" dataOnly="0" labelOnly="1" grandRow="1" outline="0" axis="axisRow" fieldPosition="0">
        <references count="1">
          <reference field="4294967294" count="1" selected="0">
            <x v="25"/>
          </reference>
        </references>
      </pivotArea>
    </format>
    <format dxfId="1672">
      <pivotArea field="0" dataOnly="0" labelOnly="1" grandRow="1" outline="0" axis="axisRow" fieldPosition="0">
        <references count="1">
          <reference field="4294967294" count="1" selected="0">
            <x v="26"/>
          </reference>
        </references>
      </pivotArea>
    </format>
    <format dxfId="1671">
      <pivotArea field="0" dataOnly="0" labelOnly="1" grandRow="1" outline="0" axis="axisRow" fieldPosition="0">
        <references count="1">
          <reference field="4294967294" count="1" selected="0">
            <x v="27"/>
          </reference>
        </references>
      </pivotArea>
    </format>
    <format dxfId="1670">
      <pivotArea field="0" dataOnly="0" labelOnly="1" grandRow="1" outline="0" axis="axisRow" fieldPosition="0">
        <references count="1">
          <reference field="4294967294" count="1" selected="0">
            <x v="28"/>
          </reference>
        </references>
      </pivotArea>
    </format>
    <format dxfId="1669">
      <pivotArea field="0" dataOnly="0" labelOnly="1" grandRow="1" outline="0" axis="axisRow" fieldPosition="0">
        <references count="1">
          <reference field="4294967294" count="1" selected="0">
            <x v="29"/>
          </reference>
        </references>
      </pivotArea>
    </format>
    <format dxfId="1668">
      <pivotArea field="0" dataOnly="0" labelOnly="1" grandRow="1" outline="0" axis="axisRow" fieldPosition="0">
        <references count="1">
          <reference field="4294967294" count="1" selected="0">
            <x v="30"/>
          </reference>
        </references>
      </pivotArea>
    </format>
    <format dxfId="1667">
      <pivotArea field="0" dataOnly="0" labelOnly="1" grandRow="1" outline="0" axis="axisRow" fieldPosition="0">
        <references count="1">
          <reference field="4294967294" count="1" selected="0">
            <x v="31"/>
          </reference>
        </references>
      </pivotArea>
    </format>
    <format dxfId="1666">
      <pivotArea field="0" dataOnly="0" labelOnly="1" grandRow="1" outline="0" axis="axisRow" fieldPosition="0">
        <references count="1">
          <reference field="4294967294" count="1" selected="0">
            <x v="32"/>
          </reference>
        </references>
      </pivotArea>
    </format>
    <format dxfId="1665">
      <pivotArea field="0" dataOnly="0" labelOnly="1" grandRow="1" outline="0" axis="axisRow" fieldPosition="0">
        <references count="1">
          <reference field="4294967294" count="1" selected="0">
            <x v="33"/>
          </reference>
        </references>
      </pivotArea>
    </format>
    <format dxfId="1664">
      <pivotArea field="0" dataOnly="0" labelOnly="1" grandRow="1" outline="0" axis="axisRow" fieldPosition="0">
        <references count="1">
          <reference field="4294967294" count="1" selected="0">
            <x v="34"/>
          </reference>
        </references>
      </pivotArea>
    </format>
    <format dxfId="1663">
      <pivotArea field="0" dataOnly="0" labelOnly="1" grandRow="1" outline="0" axis="axisRow" fieldPosition="0">
        <references count="1">
          <reference field="4294967294" count="1" selected="0">
            <x v="35"/>
          </reference>
        </references>
      </pivotArea>
    </format>
    <format dxfId="166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166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166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165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165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165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165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165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165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165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165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165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165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164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164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164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1646">
      <pivotArea dataOnly="0" labelOnly="1" outline="0" fieldPosition="0">
        <references count="1">
          <reference field="70" count="0"/>
        </references>
      </pivotArea>
    </format>
    <format dxfId="1645">
      <pivotArea dataOnly="0" labelOnly="1" outline="0" fieldPosition="0">
        <references count="1">
          <reference field="70" count="0" defaultSubtotal="1"/>
        </references>
      </pivotArea>
    </format>
    <format dxfId="1644">
      <pivotArea dataOnly="0" labelOnly="1" grandCol="1" outline="0" fieldPosition="0"/>
    </format>
    <format dxfId="1643">
      <pivotArea dataOnly="0" labelOnly="1" outline="0" fieldPosition="0">
        <references count="2">
          <reference field="4" count="7">
            <x v="0"/>
            <x v="1"/>
            <x v="2"/>
            <x v="3"/>
            <x v="4"/>
            <x v="5"/>
            <x v="6"/>
          </reference>
          <reference field="70" count="1" selected="0">
            <x v="0"/>
          </reference>
        </references>
      </pivotArea>
    </format>
    <format dxfId="1642">
      <pivotArea dataOnly="0" labelOnly="1" outline="0" fieldPosition="0">
        <references count="2">
          <reference field="4" count="4">
            <x v="7"/>
            <x v="8"/>
            <x v="9"/>
            <x v="10"/>
          </reference>
          <reference field="70" count="1" selected="0">
            <x v="1"/>
          </reference>
        </references>
      </pivotArea>
    </format>
    <format dxfId="1641">
      <pivotArea dataOnly="0" labelOnly="1" outline="0" fieldPosition="0">
        <references count="2">
          <reference field="4" count="2">
            <x v="11"/>
            <x v="12"/>
          </reference>
          <reference field="70" count="1" selected="0">
            <x v="2"/>
          </reference>
        </references>
      </pivotArea>
    </format>
    <format dxfId="1640">
      <pivotArea outline="0" fieldPosition="0">
        <references count="4">
          <reference field="4294967294" count="1" selected="0">
            <x v="2"/>
          </reference>
          <reference field="0" count="1" selected="0">
            <x v="0"/>
          </reference>
          <reference field="4" count="1" selected="0">
            <x v="5"/>
          </reference>
          <reference field="70" count="1" selected="0">
            <x v="0"/>
          </reference>
        </references>
      </pivotArea>
    </format>
    <format dxfId="1639">
      <pivotArea outline="0" fieldPosition="0">
        <references count="4">
          <reference field="4294967294" count="1" selected="0">
            <x v="8"/>
          </reference>
          <reference field="0" count="1" selected="0">
            <x v="0"/>
          </reference>
          <reference field="4" count="1" selected="0">
            <x v="5"/>
          </reference>
          <reference field="70" count="1" selected="0">
            <x v="0"/>
          </reference>
        </references>
      </pivotArea>
    </format>
    <format dxfId="1638">
      <pivotArea outline="0" fieldPosition="0">
        <references count="4">
          <reference field="4294967294" count="1" selected="0">
            <x v="20"/>
          </reference>
          <reference field="0" count="1" selected="0">
            <x v="0"/>
          </reference>
          <reference field="4" count="1" selected="0">
            <x v="1"/>
          </reference>
          <reference field="70" count="1" selected="0">
            <x v="0"/>
          </reference>
        </references>
      </pivotArea>
    </format>
    <format dxfId="1637">
      <pivotArea outline="0" fieldPosition="0">
        <references count="4">
          <reference field="4294967294" count="1" selected="0">
            <x v="26"/>
          </reference>
          <reference field="0" count="1" selected="0">
            <x v="0"/>
          </reference>
          <reference field="4" count="1" selected="0">
            <x v="1"/>
          </reference>
          <reference field="70" count="1" selected="0">
            <x v="0"/>
          </reference>
        </references>
      </pivotArea>
    </format>
    <format dxfId="1636">
      <pivotArea outline="0" fieldPosition="0">
        <references count="4">
          <reference field="4294967294" count="1" selected="0">
            <x v="26"/>
          </reference>
          <reference field="0" count="1" selected="0">
            <x v="0"/>
          </reference>
          <reference field="4" count="1" selected="0">
            <x v="3"/>
          </reference>
          <reference field="70" count="1" selected="0">
            <x v="0"/>
          </reference>
        </references>
      </pivotArea>
    </format>
    <format dxfId="1635">
      <pivotArea outline="0" fieldPosition="0">
        <references count="4">
          <reference field="4294967294" count="1" selected="0">
            <x v="14"/>
          </reference>
          <reference field="0" count="1" selected="0">
            <x v="0"/>
          </reference>
          <reference field="4" count="1" selected="0">
            <x v="10"/>
          </reference>
          <reference field="70" count="1" selected="0">
            <x v="1"/>
          </reference>
        </references>
      </pivotArea>
    </format>
    <format dxfId="1634">
      <pivotArea outline="0" fieldPosition="0">
        <references count="4">
          <reference field="4294967294" count="1" selected="0">
            <x v="2"/>
          </reference>
          <reference field="0" count="1" selected="0">
            <x v="0"/>
          </reference>
          <reference field="4" count="1" selected="0">
            <x v="11"/>
          </reference>
          <reference field="70" count="1" selected="0">
            <x v="2"/>
          </reference>
        </references>
      </pivotArea>
    </format>
    <format dxfId="1633">
      <pivotArea outline="0" fieldPosition="0">
        <references count="4">
          <reference field="4294967294" count="1" selected="0">
            <x v="5"/>
          </reference>
          <reference field="0" count="1" selected="0">
            <x v="0"/>
          </reference>
          <reference field="4" count="1" selected="0">
            <x v="11"/>
          </reference>
          <reference field="70" count="1" selected="0">
            <x v="2"/>
          </reference>
        </references>
      </pivotArea>
    </format>
    <format dxfId="1632">
      <pivotArea outline="0" fieldPosition="0">
        <references count="4">
          <reference field="4294967294" count="1" selected="0">
            <x v="20"/>
          </reference>
          <reference field="0" count="1" selected="0">
            <x v="1"/>
          </reference>
          <reference field="4" count="1" selected="0">
            <x v="4"/>
          </reference>
          <reference field="70" count="1" selected="0">
            <x v="0"/>
          </reference>
        </references>
      </pivotArea>
    </format>
    <format dxfId="1631">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1630">
      <pivotArea outline="0" fieldPosition="0">
        <references count="4">
          <reference field="4294967294" count="1" selected="0">
            <x v="26"/>
          </reference>
          <reference field="0" count="1" selected="0">
            <x v="1"/>
          </reference>
          <reference field="4" count="1" selected="0">
            <x v="4"/>
          </reference>
          <reference field="70" count="1" selected="0">
            <x v="0"/>
          </reference>
        </references>
      </pivotArea>
    </format>
    <format dxfId="1629">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1628">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1627">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1626">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1625">
      <pivotArea outline="0" fieldPosition="0">
        <references count="4">
          <reference field="4294967294" count="1" selected="0">
            <x v="20"/>
          </reference>
          <reference field="0" count="1" selected="0">
            <x v="2"/>
          </reference>
          <reference field="4" count="1" selected="0">
            <x v="2"/>
          </reference>
          <reference field="70" count="1" selected="0">
            <x v="0"/>
          </reference>
        </references>
      </pivotArea>
    </format>
    <format dxfId="1624">
      <pivotArea outline="0" fieldPosition="0">
        <references count="4">
          <reference field="4294967294" count="1" selected="0">
            <x v="26"/>
          </reference>
          <reference field="0" count="1" selected="0">
            <x v="2"/>
          </reference>
          <reference field="4" count="1" selected="0">
            <x v="2"/>
          </reference>
          <reference field="70" count="1" selected="0">
            <x v="0"/>
          </reference>
        </references>
      </pivotArea>
    </format>
    <format dxfId="1623">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1622">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1621">
      <pivotArea outline="0" fieldPosition="0">
        <references count="4">
          <reference field="4294967294" count="1" selected="0">
            <x v="20"/>
          </reference>
          <reference field="0" count="1" selected="0">
            <x v="3"/>
          </reference>
          <reference field="4" count="1" selected="0">
            <x v="0"/>
          </reference>
          <reference field="70" count="1" selected="0">
            <x v="0"/>
          </reference>
        </references>
      </pivotArea>
    </format>
    <format dxfId="1620">
      <pivotArea outline="0" fieldPosition="0">
        <references count="4">
          <reference field="4294967294" count="1" selected="0">
            <x v="26"/>
          </reference>
          <reference field="0" count="1" selected="0">
            <x v="3"/>
          </reference>
          <reference field="4" count="1" selected="0">
            <x v="0"/>
          </reference>
          <reference field="70" count="1" selected="0">
            <x v="0"/>
          </reference>
        </references>
      </pivotArea>
    </format>
    <format dxfId="1619">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1618">
      <pivotArea outline="0" fieldPosition="0">
        <references count="4">
          <reference field="4294967294" count="1" selected="0">
            <x v="10"/>
          </reference>
          <reference field="0" count="1" selected="0">
            <x v="3"/>
          </reference>
          <reference field="4" count="1" selected="0">
            <x v="10"/>
          </reference>
          <reference field="70" count="1" selected="0">
            <x v="1"/>
          </reference>
        </references>
      </pivotArea>
    </format>
    <format dxfId="1617">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1616">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1615">
      <pivotArea outline="0" fieldPosition="0">
        <references count="4">
          <reference field="4294967294" count="1" selected="0">
            <x v="8"/>
          </reference>
          <reference field="0" count="1" selected="0">
            <x v="5"/>
          </reference>
          <reference field="4" count="1" selected="0">
            <x v="3"/>
          </reference>
          <reference field="70" count="1" selected="0">
            <x v="0"/>
          </reference>
        </references>
      </pivotArea>
    </format>
    <format dxfId="1614">
      <pivotArea outline="0" fieldPosition="0">
        <references count="4">
          <reference field="4294967294" count="1" selected="0">
            <x v="11"/>
          </reference>
          <reference field="0" count="1" selected="0">
            <x v="5"/>
          </reference>
          <reference field="4" count="1" selected="0">
            <x v="3"/>
          </reference>
          <reference field="70" count="1" selected="0">
            <x v="0"/>
          </reference>
        </references>
      </pivotArea>
    </format>
    <format dxfId="1613">
      <pivotArea outline="0" fieldPosition="0">
        <references count="4">
          <reference field="4294967294" count="1" selected="0">
            <x v="2"/>
          </reference>
          <reference field="0" count="1" selected="0">
            <x v="5"/>
          </reference>
          <reference field="4" count="1" selected="0">
            <x v="3"/>
          </reference>
          <reference field="70" count="1" selected="0">
            <x v="0"/>
          </reference>
        </references>
      </pivotArea>
    </format>
    <format dxfId="1612">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1611">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1610">
      <pivotArea outline="0" fieldPosition="0">
        <references count="4">
          <reference field="4294967294" count="1" selected="0">
            <x v="2"/>
          </reference>
          <reference field="0" count="1" selected="0">
            <x v="5"/>
          </reference>
          <reference field="4" count="1" selected="0">
            <x v="8"/>
          </reference>
          <reference field="70" count="1" selected="0">
            <x v="1"/>
          </reference>
        </references>
      </pivotArea>
    </format>
    <format dxfId="1609">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1608">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1607">
      <pivotArea outline="0" fieldPosition="0">
        <references count="4">
          <reference field="4294967294" count="1" selected="0">
            <x v="20"/>
          </reference>
          <reference field="0" count="1" selected="0">
            <x v="7"/>
          </reference>
          <reference field="4" count="1" selected="0">
            <x v="4"/>
          </reference>
          <reference field="70" count="1" selected="0">
            <x v="0"/>
          </reference>
        </references>
      </pivotArea>
    </format>
    <format dxfId="1606">
      <pivotArea outline="0" fieldPosition="0">
        <references count="4">
          <reference field="4294967294" count="1" selected="0">
            <x v="23"/>
          </reference>
          <reference field="0" count="1" selected="0">
            <x v="7"/>
          </reference>
          <reference field="4" count="1" selected="0">
            <x v="4"/>
          </reference>
          <reference field="70" count="1" selected="0">
            <x v="0"/>
          </reference>
        </references>
      </pivotArea>
    </format>
    <format dxfId="1605">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1604">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1603">
      <pivotArea outline="0" fieldPosition="0">
        <references count="4">
          <reference field="4294967294" count="1" selected="0">
            <x v="4"/>
          </reference>
          <reference field="0" count="1" selected="0">
            <x v="8"/>
          </reference>
          <reference field="4" count="1" selected="0">
            <x v="4"/>
          </reference>
          <reference field="70" count="1" selected="0">
            <x v="0"/>
          </reference>
        </references>
      </pivotArea>
    </format>
    <format dxfId="1602">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1601">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1600">
      <pivotArea outline="0" fieldPosition="0">
        <references count="4">
          <reference field="4294967294" count="1" selected="0">
            <x v="10"/>
          </reference>
          <reference field="0" count="1" selected="0">
            <x v="9"/>
          </reference>
          <reference field="4" count="1" selected="0">
            <x v="3"/>
          </reference>
          <reference field="70" count="1" selected="0">
            <x v="0"/>
          </reference>
        </references>
      </pivotArea>
    </format>
    <format dxfId="1599">
      <pivotArea outline="0" fieldPosition="0">
        <references count="4">
          <reference field="4294967294" count="1" selected="0">
            <x v="20"/>
          </reference>
          <reference field="0" count="1" selected="0">
            <x v="9"/>
          </reference>
          <reference field="4" count="1" selected="0">
            <x v="5"/>
          </reference>
          <reference field="70" count="1" selected="0">
            <x v="0"/>
          </reference>
        </references>
      </pivotArea>
    </format>
    <format dxfId="1598">
      <pivotArea outline="0" fieldPosition="0">
        <references count="4">
          <reference field="4294967294" count="1" selected="0">
            <x v="23"/>
          </reference>
          <reference field="0" count="1" selected="0">
            <x v="9"/>
          </reference>
          <reference field="4" count="1" selected="0">
            <x v="5"/>
          </reference>
          <reference field="70" count="1" selected="0">
            <x v="0"/>
          </reference>
        </references>
      </pivotArea>
    </format>
    <format dxfId="1597">
      <pivotArea outline="0" fieldPosition="0">
        <references count="4">
          <reference field="4294967294" count="1" selected="0">
            <x v="26"/>
          </reference>
          <reference field="0" count="1" selected="0">
            <x v="9"/>
          </reference>
          <reference field="4" count="1" selected="0">
            <x v="5"/>
          </reference>
          <reference field="70" count="1" selected="0">
            <x v="0"/>
          </reference>
        </references>
      </pivotArea>
    </format>
    <format dxfId="1596">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1595">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1594">
      <pivotArea outline="0" fieldPosition="0">
        <references count="4">
          <reference field="4294967294" count="1" selected="0">
            <x v="22"/>
          </reference>
          <reference field="0" count="1" selected="0">
            <x v="9"/>
          </reference>
          <reference field="4" count="1" selected="0">
            <x v="5"/>
          </reference>
          <reference field="70" count="1" selected="0">
            <x v="0"/>
          </reference>
        </references>
      </pivotArea>
    </format>
    <format dxfId="1593">
      <pivotArea outline="0" fieldPosition="0">
        <references count="4">
          <reference field="4294967294" count="1" selected="0">
            <x v="13"/>
          </reference>
          <reference field="0" count="1" selected="0">
            <x v="10"/>
          </reference>
          <reference field="4" count="1" selected="0">
            <x v="3"/>
          </reference>
          <reference field="70" count="1" selected="0">
            <x v="0"/>
          </reference>
        </references>
      </pivotArea>
    </format>
    <format dxfId="1592">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1591">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1590">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1589">
      <pivotArea outline="0" fieldPosition="0">
        <references count="4">
          <reference field="4294967294" count="1" selected="0">
            <x v="29"/>
          </reference>
          <reference field="0" count="1" selected="0">
            <x v="10"/>
          </reference>
          <reference field="4" count="1" selected="0">
            <x v="0"/>
          </reference>
          <reference field="70" count="1" selected="0">
            <x v="0"/>
          </reference>
        </references>
      </pivotArea>
    </format>
    <format dxfId="1588">
      <pivotArea outline="0" fieldPosition="0">
        <references count="4">
          <reference field="4294967294" count="1" selected="0">
            <x v="26"/>
          </reference>
          <reference field="0" count="1" selected="0">
            <x v="10"/>
          </reference>
          <reference field="4" count="1" selected="0">
            <x v="4"/>
          </reference>
          <reference field="70" count="1" selected="0">
            <x v="0"/>
          </reference>
        </references>
      </pivotArea>
    </format>
    <format dxfId="1587">
      <pivotArea outline="0" fieldPosition="0">
        <references count="4">
          <reference field="4294967294" count="1" selected="0">
            <x v="2"/>
          </reference>
          <reference field="0" count="1" selected="0">
            <x v="11"/>
          </reference>
          <reference field="4" count="1" selected="0">
            <x v="0"/>
          </reference>
          <reference field="70" count="1" selected="0">
            <x v="0"/>
          </reference>
        </references>
      </pivotArea>
    </format>
    <format dxfId="1586">
      <pivotArea outline="0" fieldPosition="0">
        <references count="4">
          <reference field="4294967294" count="1" selected="0">
            <x v="2"/>
          </reference>
          <reference field="0" count="1" selected="0">
            <x v="11"/>
          </reference>
          <reference field="4" count="1" selected="0">
            <x v="8"/>
          </reference>
          <reference field="70" count="1" selected="0">
            <x v="1"/>
          </reference>
        </references>
      </pivotArea>
    </format>
    <format dxfId="1585">
      <pivotArea outline="0" fieldPosition="0">
        <references count="4">
          <reference field="4294967294" count="1" selected="0">
            <x v="2"/>
          </reference>
          <reference field="0" count="1" selected="0">
            <x v="11"/>
          </reference>
          <reference field="4" count="2" selected="0">
            <x v="9"/>
            <x v="10"/>
          </reference>
          <reference field="70" count="1" selected="0">
            <x v="1"/>
          </reference>
        </references>
      </pivotArea>
    </format>
    <format dxfId="1584">
      <pivotArea outline="0" fieldPosition="0">
        <references count="4">
          <reference field="4294967294" count="1" selected="0">
            <x v="8"/>
          </reference>
          <reference field="0" count="1" selected="0">
            <x v="11"/>
          </reference>
          <reference field="4" count="1" selected="0">
            <x v="8"/>
          </reference>
          <reference field="70" count="1" selected="0">
            <x v="1"/>
          </reference>
        </references>
      </pivotArea>
    </format>
    <format dxfId="1583">
      <pivotArea outline="0" fieldPosition="0">
        <references count="4">
          <reference field="4294967294" count="1" selected="0">
            <x v="20"/>
          </reference>
          <reference field="0" count="1" selected="0">
            <x v="11"/>
          </reference>
          <reference field="4" count="1" selected="0">
            <x v="2"/>
          </reference>
          <reference field="70" count="1" selected="0">
            <x v="0"/>
          </reference>
        </references>
      </pivotArea>
    </format>
    <format dxfId="1582">
      <pivotArea outline="0" fieldPosition="0">
        <references count="4">
          <reference field="4294967294" count="1" selected="0">
            <x v="23"/>
          </reference>
          <reference field="0" count="1" selected="0">
            <x v="11"/>
          </reference>
          <reference field="4" count="1" selected="0">
            <x v="2"/>
          </reference>
          <reference field="70" count="1" selected="0">
            <x v="0"/>
          </reference>
        </references>
      </pivotArea>
    </format>
    <format dxfId="1581">
      <pivotArea outline="0" fieldPosition="0">
        <references count="4">
          <reference field="4294967294" count="1" selected="0">
            <x v="23"/>
          </reference>
          <reference field="0" count="1" selected="0">
            <x v="11"/>
          </reference>
          <reference field="4" count="1" selected="0">
            <x v="4"/>
          </reference>
          <reference field="70" count="1" selected="0">
            <x v="0"/>
          </reference>
        </references>
      </pivotArea>
    </format>
    <format dxfId="1580">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1579">
      <pivotArea outline="0" fieldPosition="0">
        <references count="4">
          <reference field="4294967294" count="1" selected="0">
            <x v="23"/>
          </reference>
          <reference field="0" count="1" selected="0">
            <x v="11"/>
          </reference>
          <reference field="4" count="1" selected="0">
            <x v="5"/>
          </reference>
          <reference field="70" count="1" selected="0">
            <x v="0"/>
          </reference>
        </references>
      </pivotArea>
    </format>
    <format dxfId="1578">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1577">
      <pivotArea outline="0" fieldPosition="0">
        <references count="4">
          <reference field="4294967294" count="1" selected="0">
            <x v="20"/>
          </reference>
          <reference field="0" count="1" selected="0">
            <x v="12"/>
          </reference>
          <reference field="4" count="1" selected="0">
            <x v="4"/>
          </reference>
          <reference field="70" count="1" selected="0">
            <x v="0"/>
          </reference>
        </references>
      </pivotArea>
    </format>
    <format dxfId="1576">
      <pivotArea outline="0" fieldPosition="0">
        <references count="4">
          <reference field="4294967294" count="1" selected="0">
            <x v="26"/>
          </reference>
          <reference field="0" count="1" selected="0">
            <x v="12"/>
          </reference>
          <reference field="4" count="1" selected="0">
            <x v="4"/>
          </reference>
          <reference field="70" count="1" selected="0">
            <x v="0"/>
          </reference>
        </references>
      </pivotArea>
    </format>
    <format dxfId="1575">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1574">
      <pivotArea outline="0" fieldPosition="0">
        <references count="4">
          <reference field="4294967294" count="1" selected="0">
            <x v="20"/>
          </reference>
          <reference field="0" count="1" selected="0">
            <x v="13"/>
          </reference>
          <reference field="4" count="1" selected="0">
            <x v="4"/>
          </reference>
          <reference field="70" count="1" selected="0">
            <x v="0"/>
          </reference>
        </references>
      </pivotArea>
    </format>
    <format dxfId="1573">
      <pivotArea outline="0" fieldPosition="0">
        <references count="4">
          <reference field="4294967294" count="1" selected="0">
            <x v="26"/>
          </reference>
          <reference field="0" count="1" selected="0">
            <x v="13"/>
          </reference>
          <reference field="4" count="1" selected="0">
            <x v="4"/>
          </reference>
          <reference field="70" count="1" selected="0">
            <x v="0"/>
          </reference>
        </references>
      </pivotArea>
    </format>
    <format dxfId="1572">
      <pivotArea outline="0" fieldPosition="0">
        <references count="4">
          <reference field="4294967294" count="1" selected="0">
            <x v="28"/>
          </reference>
          <reference field="0" count="1" selected="0">
            <x v="13"/>
          </reference>
          <reference field="4" count="1" selected="0">
            <x v="5"/>
          </reference>
          <reference field="70" count="1" selected="0">
            <x v="0"/>
          </reference>
        </references>
      </pivotArea>
    </format>
    <format dxfId="1571">
      <pivotArea outline="0" fieldPosition="0">
        <references count="4">
          <reference field="4294967294" count="1" selected="0">
            <x v="31"/>
          </reference>
          <reference field="0" count="1" selected="0">
            <x v="13"/>
          </reference>
          <reference field="4" count="1" selected="0">
            <x v="4"/>
          </reference>
          <reference field="70" count="1" selected="0">
            <x v="0"/>
          </reference>
        </references>
      </pivotArea>
    </format>
    <format dxfId="1570">
      <pivotArea outline="0" fieldPosition="0">
        <references count="4">
          <reference field="4294967294" count="1" selected="0">
            <x v="2"/>
          </reference>
          <reference field="0" count="1" selected="0">
            <x v="14"/>
          </reference>
          <reference field="4" count="1" selected="0">
            <x v="5"/>
          </reference>
          <reference field="70" count="1" selected="0">
            <x v="0"/>
          </reference>
        </references>
      </pivotArea>
    </format>
    <format dxfId="1569">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1568">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1567">
      <pivotArea outline="0" fieldPosition="0">
        <references count="4">
          <reference field="4294967294" count="1" selected="0">
            <x v="26"/>
          </reference>
          <reference field="0" count="1" selected="0">
            <x v="14"/>
          </reference>
          <reference field="4" count="1" selected="0">
            <x v="2"/>
          </reference>
          <reference field="70" count="1" selected="0">
            <x v="0"/>
          </reference>
        </references>
      </pivotArea>
    </format>
    <format dxfId="1566">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1565">
      <pivotArea outline="0" fieldPosition="0">
        <references count="4">
          <reference field="4294967294" count="1" selected="0">
            <x v="2"/>
          </reference>
          <reference field="0" count="1" selected="0">
            <x v="15"/>
          </reference>
          <reference field="4" count="1" selected="0">
            <x v="7"/>
          </reference>
          <reference field="70" count="1" selected="0">
            <x v="1"/>
          </reference>
        </references>
      </pivotArea>
    </format>
    <format dxfId="1564">
      <pivotArea outline="0" fieldPosition="0">
        <references count="4">
          <reference field="4294967294" count="1" selected="0">
            <x v="8"/>
          </reference>
          <reference field="0" count="1" selected="0">
            <x v="15"/>
          </reference>
          <reference field="4" count="1" selected="0">
            <x v="7"/>
          </reference>
          <reference field="70" count="1" selected="0">
            <x v="1"/>
          </reference>
        </references>
      </pivotArea>
    </format>
    <format dxfId="1563">
      <pivotArea outline="0" fieldPosition="0">
        <references count="4">
          <reference field="4294967294" count="1" selected="0">
            <x v="23"/>
          </reference>
          <reference field="0" count="1" selected="0">
            <x v="15"/>
          </reference>
          <reference field="4" count="1" selected="0">
            <x v="2"/>
          </reference>
          <reference field="70" count="1" selected="0">
            <x v="0"/>
          </reference>
        </references>
      </pivotArea>
    </format>
    <format dxfId="1562">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1561">
      <pivotArea outline="0" fieldPosition="0">
        <references count="4">
          <reference field="4294967294" count="1" selected="0">
            <x v="20"/>
          </reference>
          <reference field="0" count="1" selected="0">
            <x v="15"/>
          </reference>
          <reference field="4" count="1" selected="0">
            <x v="4"/>
          </reference>
          <reference field="70" count="1" selected="0">
            <x v="0"/>
          </reference>
        </references>
      </pivotArea>
    </format>
    <format dxfId="1560">
      <pivotArea outline="0" fieldPosition="0">
        <references count="4">
          <reference field="4294967294" count="1" selected="0">
            <x v="26"/>
          </reference>
          <reference field="0" count="1" selected="0">
            <x v="15"/>
          </reference>
          <reference field="4" count="1" selected="0">
            <x v="4"/>
          </reference>
          <reference field="70" count="1" selected="0">
            <x v="0"/>
          </reference>
        </references>
      </pivotArea>
    </format>
    <format dxfId="1559">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1558">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1557">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1556">
      <pivotArea outline="0" fieldPosition="0">
        <references count="4">
          <reference field="4294967294" count="7" selected="0">
            <x v="20"/>
            <x v="21"/>
            <x v="22"/>
            <x v="23"/>
            <x v="24"/>
            <x v="25"/>
            <x v="26"/>
          </reference>
          <reference field="0" count="1" selected="0">
            <x v="2"/>
          </reference>
          <reference field="4" count="1" selected="0">
            <x v="2"/>
          </reference>
          <reference field="70" count="1" selected="0">
            <x v="0"/>
          </reference>
        </references>
      </pivotArea>
    </format>
    <format dxfId="1555">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1554">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1553">
      <pivotArea outline="0" fieldPosition="0">
        <references count="4">
          <reference field="4294967294" count="1" selected="0">
            <x v="2"/>
          </reference>
          <reference field="0" count="1" selected="0">
            <x v="0"/>
          </reference>
          <reference field="4" count="1" selected="0">
            <x v="12"/>
          </reference>
          <reference field="70" count="1" selected="0">
            <x v="2"/>
          </reference>
        </references>
      </pivotArea>
    </format>
    <format dxfId="1552">
      <pivotArea outline="0" fieldPosition="0">
        <references count="4">
          <reference field="4294967294" count="2" selected="0">
            <x v="7"/>
            <x v="8"/>
          </reference>
          <reference field="0" count="1" selected="0">
            <x v="0"/>
          </reference>
          <reference field="4" count="1" selected="0">
            <x v="12"/>
          </reference>
          <reference field="70" count="1" selected="0">
            <x v="2"/>
          </reference>
        </references>
      </pivotArea>
    </format>
    <format dxfId="1551">
      <pivotArea outline="0" fieldPosition="0">
        <references count="4">
          <reference field="4294967294" count="1" selected="0">
            <x v="10"/>
          </reference>
          <reference field="0" count="1" selected="0">
            <x v="0"/>
          </reference>
          <reference field="4" count="1" selected="0">
            <x v="0"/>
          </reference>
          <reference field="70" count="1" selected="0">
            <x v="0"/>
          </reference>
        </references>
      </pivotArea>
    </format>
    <format dxfId="1550">
      <pivotArea outline="0" fieldPosition="0">
        <references count="4">
          <reference field="4294967294" count="1" selected="0">
            <x v="13"/>
          </reference>
          <reference field="0" count="1" selected="0">
            <x v="0"/>
          </reference>
          <reference field="4" count="1" selected="0">
            <x v="10"/>
          </reference>
          <reference field="70" count="1" selected="0">
            <x v="1"/>
          </reference>
        </references>
      </pivotArea>
    </format>
    <format dxfId="1549">
      <pivotArea outline="0" fieldPosition="0">
        <references count="4">
          <reference field="4294967294" count="2" selected="0">
            <x v="22"/>
            <x v="23"/>
          </reference>
          <reference field="0" count="1" selected="0">
            <x v="0"/>
          </reference>
          <reference field="4" count="1" selected="0">
            <x v="3"/>
          </reference>
          <reference field="70" count="1" selected="0">
            <x v="0"/>
          </reference>
        </references>
      </pivotArea>
    </format>
    <format dxfId="1548">
      <pivotArea outline="0" fieldPosition="0">
        <references count="4">
          <reference field="4294967294" count="2" selected="0">
            <x v="22"/>
            <x v="23"/>
          </reference>
          <reference field="0" count="1" selected="0">
            <x v="0"/>
          </reference>
          <reference field="4" count="1" selected="0">
            <x v="4"/>
          </reference>
          <reference field="70" count="1" selected="0">
            <x v="0"/>
          </reference>
        </references>
      </pivotArea>
    </format>
    <format dxfId="1547">
      <pivotArea outline="0" fieldPosition="0">
        <references count="4">
          <reference field="4294967294" count="1" selected="0">
            <x v="2"/>
          </reference>
          <reference field="0" count="1" selected="0">
            <x v="1"/>
          </reference>
          <reference field="4" count="1" selected="0">
            <x v="9"/>
          </reference>
          <reference field="70" count="1" selected="0">
            <x v="1"/>
          </reference>
        </references>
      </pivotArea>
    </format>
    <format dxfId="1546">
      <pivotArea outline="0" fieldPosition="0">
        <references count="4">
          <reference field="4294967294" count="2" selected="0">
            <x v="10"/>
            <x v="11"/>
          </reference>
          <reference field="0" count="1" selected="0">
            <x v="1"/>
          </reference>
          <reference field="4" count="1" selected="0">
            <x v="4"/>
          </reference>
          <reference field="70" count="1" selected="0">
            <x v="0"/>
          </reference>
        </references>
      </pivotArea>
    </format>
    <format dxfId="1545">
      <pivotArea outline="0" fieldPosition="0">
        <references count="4">
          <reference field="4294967294" count="2" selected="0">
            <x v="10"/>
            <x v="11"/>
          </reference>
          <reference field="0" count="1" selected="0">
            <x v="1"/>
          </reference>
          <reference field="4" count="1" selected="0">
            <x v="5"/>
          </reference>
          <reference field="70" count="1" selected="0">
            <x v="0"/>
          </reference>
        </references>
      </pivotArea>
    </format>
    <format dxfId="1544">
      <pivotArea outline="0" fieldPosition="0">
        <references count="4">
          <reference field="4294967294" count="1" selected="0">
            <x v="23"/>
          </reference>
          <reference field="0" count="1" selected="0">
            <x v="1"/>
          </reference>
          <reference field="4" count="1" selected="0">
            <x v="3"/>
          </reference>
          <reference field="70" count="1" selected="0">
            <x v="0"/>
          </reference>
        </references>
      </pivotArea>
    </format>
    <format dxfId="1543">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1542">
      <pivotArea outline="0" fieldPosition="0">
        <references count="4">
          <reference field="4294967294" count="1" selected="0">
            <x v="28"/>
          </reference>
          <reference field="0" count="1" selected="0">
            <x v="1"/>
          </reference>
          <reference field="4" count="1" selected="0">
            <x v="3"/>
          </reference>
          <reference field="70" count="1" selected="0">
            <x v="0"/>
          </reference>
        </references>
      </pivotArea>
    </format>
    <format dxfId="1541">
      <pivotArea outline="0" fieldPosition="0">
        <references count="4">
          <reference field="4294967294" count="2" selected="0">
            <x v="4"/>
            <x v="5"/>
          </reference>
          <reference field="0" count="1" selected="0">
            <x v="3"/>
          </reference>
          <reference field="4" count="1" selected="0">
            <x v="3"/>
          </reference>
          <reference field="70" count="1" selected="0">
            <x v="0"/>
          </reference>
        </references>
      </pivotArea>
    </format>
    <format dxfId="1540">
      <pivotArea outline="0" fieldPosition="0">
        <references count="4">
          <reference field="4294967294" count="1" selected="0">
            <x v="8"/>
          </reference>
          <reference field="0" count="1" selected="0">
            <x v="3"/>
          </reference>
          <reference field="4" count="1" selected="0">
            <x v="3"/>
          </reference>
          <reference field="70" count="1" selected="0">
            <x v="0"/>
          </reference>
        </references>
      </pivotArea>
    </format>
    <format dxfId="1539">
      <pivotArea outline="0" fieldPosition="0">
        <references count="4">
          <reference field="4294967294" count="2" selected="0">
            <x v="10"/>
            <x v="11"/>
          </reference>
          <reference field="0" count="1" selected="0">
            <x v="3"/>
          </reference>
          <reference field="4" count="1" selected="0">
            <x v="2"/>
          </reference>
          <reference field="70" count="1" selected="0">
            <x v="0"/>
          </reference>
        </references>
      </pivotArea>
    </format>
    <format dxfId="1538">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1537">
      <pivotArea outline="0" fieldPosition="0">
        <references count="4">
          <reference field="4294967294" count="1" selected="0">
            <x v="26"/>
          </reference>
          <reference field="0" count="1" selected="0">
            <x v="3"/>
          </reference>
          <reference field="4" count="1" selected="0">
            <x v="2"/>
          </reference>
          <reference field="70" count="1" selected="0">
            <x v="0"/>
          </reference>
        </references>
      </pivotArea>
    </format>
    <format dxfId="1536">
      <pivotArea outline="0" fieldPosition="0">
        <references count="4">
          <reference field="4294967294" count="1" selected="0">
            <x v="26"/>
          </reference>
          <reference field="0" count="1" selected="0">
            <x v="3"/>
          </reference>
          <reference field="4" count="1" selected="0">
            <x v="3"/>
          </reference>
          <reference field="70" count="1" selected="0">
            <x v="0"/>
          </reference>
        </references>
      </pivotArea>
    </format>
    <format dxfId="1535">
      <pivotArea outline="0" fieldPosition="0">
        <references count="4">
          <reference field="4294967294" count="2" selected="0">
            <x v="28"/>
            <x v="29"/>
          </reference>
          <reference field="0" count="1" selected="0">
            <x v="3"/>
          </reference>
          <reference field="4" count="1" selected="0">
            <x v="2"/>
          </reference>
          <reference field="70" count="1" selected="0">
            <x v="0"/>
          </reference>
        </references>
      </pivotArea>
    </format>
    <format dxfId="1534">
      <pivotArea outline="0" fieldPosition="0">
        <references count="4">
          <reference field="4294967294" count="1" selected="0">
            <x v="10"/>
          </reference>
          <reference field="0" count="1" selected="0">
            <x v="4"/>
          </reference>
          <reference field="4" count="1" selected="0">
            <x v="5"/>
          </reference>
          <reference field="70" count="1" selected="0">
            <x v="0"/>
          </reference>
        </references>
      </pivotArea>
    </format>
    <format dxfId="1533">
      <pivotArea outline="0" fieldPosition="0">
        <references count="4">
          <reference field="4294967294" count="1" selected="0">
            <x v="8"/>
          </reference>
          <reference field="0" count="1" selected="0">
            <x v="4"/>
          </reference>
          <reference field="4" count="2" selected="0">
            <x v="7"/>
            <x v="8"/>
          </reference>
          <reference field="70" count="1" selected="0">
            <x v="1"/>
          </reference>
        </references>
      </pivotArea>
    </format>
    <format dxfId="1532">
      <pivotArea outline="0" fieldPosition="0">
        <references count="4">
          <reference field="4294967294" count="2" selected="0">
            <x v="13"/>
            <x v="14"/>
          </reference>
          <reference field="0" count="1" selected="0">
            <x v="4"/>
          </reference>
          <reference field="4" count="1" selected="0">
            <x v="8"/>
          </reference>
          <reference field="70" count="1" selected="0">
            <x v="1"/>
          </reference>
        </references>
      </pivotArea>
    </format>
    <format dxfId="1531">
      <pivotArea outline="0" fieldPosition="0">
        <references count="4">
          <reference field="4294967294" count="2" selected="0">
            <x v="10"/>
            <x v="11"/>
          </reference>
          <reference field="0" count="1" selected="0">
            <x v="4"/>
          </reference>
          <reference field="4" count="1" selected="0">
            <x v="9"/>
          </reference>
          <reference field="70" count="1" selected="0">
            <x v="1"/>
          </reference>
        </references>
      </pivotArea>
    </format>
    <format dxfId="1530">
      <pivotArea outline="0" fieldPosition="0">
        <references count="4">
          <reference field="4294967294" count="1" selected="0">
            <x v="20"/>
          </reference>
          <reference field="0" count="1" selected="0">
            <x v="4"/>
          </reference>
          <reference field="4" count="1" selected="0">
            <x v="1"/>
          </reference>
          <reference field="70" count="1" selected="0">
            <x v="0"/>
          </reference>
        </references>
      </pivotArea>
    </format>
    <format dxfId="1529">
      <pivotArea outline="0" fieldPosition="0">
        <references count="4">
          <reference field="4294967294" count="1" selected="0">
            <x v="26"/>
          </reference>
          <reference field="0" count="1" selected="0">
            <x v="4"/>
          </reference>
          <reference field="4" count="1" selected="0">
            <x v="1"/>
          </reference>
          <reference field="70" count="1" selected="0">
            <x v="0"/>
          </reference>
        </references>
      </pivotArea>
    </format>
    <format dxfId="1528">
      <pivotArea outline="0" fieldPosition="0">
        <references count="4">
          <reference field="4294967294" count="1" selected="0">
            <x v="23"/>
          </reference>
          <reference field="0" count="1" selected="0">
            <x v="4"/>
          </reference>
          <reference field="4" count="1" selected="0">
            <x v="4"/>
          </reference>
          <reference field="70" count="1" selected="0">
            <x v="0"/>
          </reference>
        </references>
      </pivotArea>
    </format>
    <format dxfId="1527">
      <pivotArea outline="0" fieldPosition="0">
        <references count="4">
          <reference field="4294967294" count="1" selected="0">
            <x v="26"/>
          </reference>
          <reference field="0" count="1" selected="0">
            <x v="4"/>
          </reference>
          <reference field="4" count="1" selected="0">
            <x v="4"/>
          </reference>
          <reference field="70" count="1" selected="0">
            <x v="0"/>
          </reference>
        </references>
      </pivotArea>
    </format>
    <format dxfId="1526">
      <pivotArea outline="0" fieldPosition="0">
        <references count="4">
          <reference field="4294967294" count="1" selected="0">
            <x v="2"/>
          </reference>
          <reference field="0" count="1" selected="0">
            <x v="5"/>
          </reference>
          <reference field="4" count="3" selected="0">
            <x v="8"/>
            <x v="9"/>
            <x v="10"/>
          </reference>
          <reference field="70" count="1" selected="0">
            <x v="1"/>
          </reference>
        </references>
      </pivotArea>
    </format>
    <format dxfId="1525">
      <pivotArea outline="0" fieldPosition="0">
        <references count="4">
          <reference field="4294967294" count="1" selected="0">
            <x v="5"/>
          </reference>
          <reference field="0" count="1" selected="0">
            <x v="5"/>
          </reference>
          <reference field="4" count="3" selected="0">
            <x v="8"/>
            <x v="9"/>
            <x v="10"/>
          </reference>
          <reference field="70" count="1" selected="0">
            <x v="1"/>
          </reference>
        </references>
      </pivotArea>
    </format>
    <format dxfId="1524">
      <pivotArea outline="0" fieldPosition="0">
        <references count="4">
          <reference field="4294967294" count="1" selected="0">
            <x v="8"/>
          </reference>
          <reference field="0" count="1" selected="0">
            <x v="5"/>
          </reference>
          <reference field="4" count="3" selected="0">
            <x v="8"/>
            <x v="9"/>
            <x v="10"/>
          </reference>
          <reference field="70" count="1" selected="0">
            <x v="1"/>
          </reference>
        </references>
      </pivotArea>
    </format>
    <format dxfId="1523">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1522">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1521">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1520">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1519">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1518">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1517">
      <pivotArea outline="0" fieldPosition="0">
        <references count="4">
          <reference field="4294967294" count="1" selected="0">
            <x v="26"/>
          </reference>
          <reference field="0" count="1" selected="0">
            <x v="7"/>
          </reference>
          <reference field="4" count="1" selected="0">
            <x v="2"/>
          </reference>
          <reference field="70" count="1" selected="0">
            <x v="0"/>
          </reference>
        </references>
      </pivotArea>
    </format>
    <format dxfId="1516">
      <pivotArea outline="0" fieldPosition="0">
        <references count="4">
          <reference field="4294967294" count="1" selected="0">
            <x v="20"/>
          </reference>
          <reference field="0" count="1" selected="0">
            <x v="8"/>
          </reference>
          <reference field="4" count="2" selected="0">
            <x v="3"/>
            <x v="4"/>
          </reference>
          <reference field="70" count="1" selected="0">
            <x v="0"/>
          </reference>
        </references>
      </pivotArea>
    </format>
    <format dxfId="1515">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1514">
      <pivotArea outline="0" fieldPosition="0">
        <references count="4">
          <reference field="4294967294" count="1" selected="0">
            <x v="34"/>
          </reference>
          <reference field="0" count="1" selected="0">
            <x v="8"/>
          </reference>
          <reference field="4" count="1" selected="0">
            <x v="0"/>
          </reference>
          <reference field="70" count="1" selected="0">
            <x v="0"/>
          </reference>
        </references>
      </pivotArea>
    </format>
    <format dxfId="1513">
      <pivotArea outline="0" fieldPosition="0">
        <references count="4">
          <reference field="4294967294" count="1" selected="0">
            <x v="2"/>
          </reference>
          <reference field="0" count="1" selected="0">
            <x v="9"/>
          </reference>
          <reference field="4" count="1" selected="0">
            <x v="3"/>
          </reference>
          <reference field="70" count="1" selected="0">
            <x v="0"/>
          </reference>
        </references>
      </pivotArea>
    </format>
    <format dxfId="1512">
      <pivotArea outline="0" fieldPosition="0">
        <references count="4">
          <reference field="4294967294" count="1" selected="0">
            <x v="8"/>
          </reference>
          <reference field="0" count="1" selected="0">
            <x v="9"/>
          </reference>
          <reference field="4" count="1" selected="0">
            <x v="3"/>
          </reference>
          <reference field="70" count="1" selected="0">
            <x v="0"/>
          </reference>
        </references>
      </pivotArea>
    </format>
    <format dxfId="1511">
      <pivotArea outline="0" fieldPosition="0">
        <references count="4">
          <reference field="4294967294" count="1" selected="0">
            <x v="2"/>
          </reference>
          <reference field="0" count="1" selected="0">
            <x v="9"/>
          </reference>
          <reference field="4" count="1" selected="0">
            <x v="8"/>
          </reference>
          <reference field="70" count="1" selected="0">
            <x v="1"/>
          </reference>
        </references>
      </pivotArea>
    </format>
    <format dxfId="1510">
      <pivotArea outline="0" fieldPosition="0">
        <references count="4">
          <reference field="4294967294" count="1" selected="0">
            <x v="8"/>
          </reference>
          <reference field="0" count="1" selected="0">
            <x v="9"/>
          </reference>
          <reference field="4" count="1" selected="0">
            <x v="8"/>
          </reference>
          <reference field="70" count="1" selected="0">
            <x v="1"/>
          </reference>
        </references>
      </pivotArea>
    </format>
    <format dxfId="1509">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1508">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1507">
      <pivotArea outline="0" fieldPosition="0">
        <references count="4">
          <reference field="4294967294" count="1" selected="0">
            <x v="2"/>
          </reference>
          <reference field="0" count="1" selected="0">
            <x v="10"/>
          </reference>
          <reference field="4" count="1" selected="0">
            <x v="2"/>
          </reference>
          <reference field="70" count="1" selected="0">
            <x v="0"/>
          </reference>
        </references>
      </pivotArea>
    </format>
    <format dxfId="1506">
      <pivotArea outline="0" fieldPosition="0">
        <references count="4">
          <reference field="4294967294" count="1" selected="0">
            <x v="5"/>
          </reference>
          <reference field="0" count="1" selected="0">
            <x v="10"/>
          </reference>
          <reference field="4" count="1" selected="0">
            <x v="2"/>
          </reference>
          <reference field="70" count="1" selected="0">
            <x v="0"/>
          </reference>
        </references>
      </pivotArea>
    </format>
    <format dxfId="1505">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1504">
      <pivotArea outline="0" fieldPosition="0">
        <references count="4">
          <reference field="4294967294" count="1" selected="0">
            <x v="20"/>
          </reference>
          <reference field="0" count="1" selected="0">
            <x v="10"/>
          </reference>
          <reference field="4" count="1" selected="0">
            <x v="2"/>
          </reference>
          <reference field="70" count="1" selected="0">
            <x v="0"/>
          </reference>
        </references>
      </pivotArea>
    </format>
    <format dxfId="1503">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1502">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1501">
      <pivotArea outline="0" fieldPosition="0">
        <references count="4">
          <reference field="4294967294" count="1" selected="0">
            <x v="23"/>
          </reference>
          <reference field="0" count="1" selected="0">
            <x v="10"/>
          </reference>
          <reference field="4" count="1" selected="0">
            <x v="2"/>
          </reference>
          <reference field="70" count="1" selected="0">
            <x v="0"/>
          </reference>
        </references>
      </pivotArea>
    </format>
    <format dxfId="1500">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1499">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1498">
      <pivotArea outline="0" fieldPosition="0">
        <references count="4">
          <reference field="4294967294" count="2" selected="0">
            <x v="10"/>
            <x v="11"/>
          </reference>
          <reference field="0" count="1" selected="0">
            <x v="11"/>
          </reference>
          <reference field="4" count="1" selected="0">
            <x v="0"/>
          </reference>
          <reference field="70" count="1" selected="0">
            <x v="0"/>
          </reference>
        </references>
      </pivotArea>
    </format>
    <format dxfId="1497">
      <pivotArea outline="0" fieldPosition="0">
        <references count="4">
          <reference field="4294967294" count="2" selected="0">
            <x v="10"/>
            <x v="11"/>
          </reference>
          <reference field="0" count="1" selected="0">
            <x v="11"/>
          </reference>
          <reference field="4" count="1" selected="0">
            <x v="5"/>
          </reference>
          <reference field="70" count="1" selected="0">
            <x v="0"/>
          </reference>
        </references>
      </pivotArea>
    </format>
    <format dxfId="1496">
      <pivotArea outline="0" fieldPosition="0">
        <references count="4">
          <reference field="4294967294" count="2" selected="0">
            <x v="13"/>
            <x v="14"/>
          </reference>
          <reference field="0" count="1" selected="0">
            <x v="11"/>
          </reference>
          <reference field="4" count="1" selected="0">
            <x v="0"/>
          </reference>
          <reference field="70" count="1" selected="0">
            <x v="0"/>
          </reference>
        </references>
      </pivotArea>
    </format>
    <format dxfId="1495">
      <pivotArea outline="0" fieldPosition="0">
        <references count="4">
          <reference field="4294967294" count="1" selected="0">
            <x v="2"/>
          </reference>
          <reference field="0" count="1" selected="0">
            <x v="11"/>
          </reference>
          <reference field="4" count="1" selected="0">
            <x v="10"/>
          </reference>
          <reference field="70" count="1" selected="0">
            <x v="1"/>
          </reference>
        </references>
      </pivotArea>
    </format>
    <format dxfId="1494">
      <pivotArea outline="0" fieldPosition="0">
        <references count="4">
          <reference field="4294967294" count="1" selected="0">
            <x v="8"/>
          </reference>
          <reference field="0" count="1" selected="0">
            <x v="11"/>
          </reference>
          <reference field="4" count="1" selected="0">
            <x v="10"/>
          </reference>
          <reference field="70" count="1" selected="0">
            <x v="1"/>
          </reference>
        </references>
      </pivotArea>
    </format>
    <format dxfId="1493">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1492">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1491">
      <pivotArea outline="0" fieldPosition="0">
        <references count="4">
          <reference field="4294967294" count="2" selected="0">
            <x v="28"/>
            <x v="29"/>
          </reference>
          <reference field="0" count="1" selected="0">
            <x v="11"/>
          </reference>
          <reference field="4" count="1" selected="0">
            <x v="5"/>
          </reference>
          <reference field="70" count="1" selected="0">
            <x v="0"/>
          </reference>
        </references>
      </pivotArea>
    </format>
    <format dxfId="1490">
      <pivotArea outline="0" fieldPosition="0">
        <references count="4">
          <reference field="4294967294" count="1" selected="0">
            <x v="31"/>
          </reference>
          <reference field="0" count="1" selected="0">
            <x v="11"/>
          </reference>
          <reference field="4" count="1" selected="0">
            <x v="5"/>
          </reference>
          <reference field="70" count="1" selected="0">
            <x v="0"/>
          </reference>
        </references>
      </pivotArea>
    </format>
    <format dxfId="1489">
      <pivotArea outline="0" fieldPosition="0">
        <references count="4">
          <reference field="4294967294" count="2" selected="0">
            <x v="10"/>
            <x v="11"/>
          </reference>
          <reference field="0" count="1" selected="0">
            <x v="12"/>
          </reference>
          <reference field="4" count="1" selected="0">
            <x v="9"/>
          </reference>
          <reference field="70" count="1" selected="0">
            <x v="1"/>
          </reference>
        </references>
      </pivotArea>
    </format>
    <format dxfId="1488">
      <pivotArea outline="0" fieldPosition="0">
        <references count="4">
          <reference field="4294967294" count="1" selected="0">
            <x v="22"/>
          </reference>
          <reference field="0" count="1" selected="0">
            <x v="12"/>
          </reference>
          <reference field="4" count="1" selected="0">
            <x v="4"/>
          </reference>
          <reference field="70" count="1" selected="0">
            <x v="0"/>
          </reference>
        </references>
      </pivotArea>
    </format>
    <format dxfId="1487">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1486">
      <pivotArea outline="0" fieldPosition="0">
        <references count="4">
          <reference field="4294967294" count="1" selected="0">
            <x v="20"/>
          </reference>
          <reference field="0" count="1" selected="0">
            <x v="13"/>
          </reference>
          <reference field="4" count="3" selected="0">
            <x v="3"/>
            <x v="4"/>
            <x v="5"/>
          </reference>
          <reference field="70" count="1" selected="0">
            <x v="0"/>
          </reference>
        </references>
      </pivotArea>
    </format>
    <format dxfId="1485">
      <pivotArea outline="0" fieldPosition="0">
        <references count="4">
          <reference field="4294967294" count="1" selected="0">
            <x v="23"/>
          </reference>
          <reference field="0" count="1" selected="0">
            <x v="13"/>
          </reference>
          <reference field="4" count="2" selected="0">
            <x v="2"/>
            <x v="3"/>
          </reference>
          <reference field="70" count="1" selected="0">
            <x v="0"/>
          </reference>
        </references>
      </pivotArea>
    </format>
    <format dxfId="1484">
      <pivotArea outline="0" fieldPosition="0">
        <references count="4">
          <reference field="4294967294" count="1" selected="0">
            <x v="26"/>
          </reference>
          <reference field="0" count="1" selected="0">
            <x v="13"/>
          </reference>
          <reference field="4" count="2" selected="0">
            <x v="4"/>
            <x v="5"/>
          </reference>
          <reference field="70" count="1" selected="0">
            <x v="0"/>
          </reference>
        </references>
      </pivotArea>
    </format>
    <format dxfId="1483">
      <pivotArea outline="0" fieldPosition="0">
        <references count="4">
          <reference field="4294967294" count="1" selected="0">
            <x v="26"/>
          </reference>
          <reference field="0" count="1" selected="0">
            <x v="13"/>
          </reference>
          <reference field="4" count="1" selected="0">
            <x v="2"/>
          </reference>
          <reference field="70" count="1" selected="0">
            <x v="0"/>
          </reference>
        </references>
      </pivotArea>
    </format>
    <format dxfId="1482">
      <pivotArea outline="0" fieldPosition="0">
        <references count="4">
          <reference field="4294967294" count="2" selected="0">
            <x v="28"/>
            <x v="29"/>
          </reference>
          <reference field="0" count="1" selected="0">
            <x v="13"/>
          </reference>
          <reference field="4" count="1" selected="0">
            <x v="5"/>
          </reference>
          <reference field="70" count="1" selected="0">
            <x v="0"/>
          </reference>
        </references>
      </pivotArea>
    </format>
    <format dxfId="1481">
      <pivotArea outline="0" fieldPosition="0">
        <references count="4">
          <reference field="4294967294" count="1" selected="0">
            <x v="25"/>
          </reference>
          <reference field="0" count="1" selected="0">
            <x v="14"/>
          </reference>
          <reference field="4" count="1" selected="0">
            <x v="1"/>
          </reference>
          <reference field="70" count="1" selected="0">
            <x v="0"/>
          </reference>
        </references>
      </pivotArea>
    </format>
    <format dxfId="1480">
      <pivotArea outline="0" fieldPosition="0">
        <references count="4">
          <reference field="4294967294" count="1" selected="0">
            <x v="31"/>
          </reference>
          <reference field="0" count="1" selected="0">
            <x v="14"/>
          </reference>
          <reference field="4" count="1" selected="0">
            <x v="0"/>
          </reference>
          <reference field="70" count="1" selected="0">
            <x v="0"/>
          </reference>
        </references>
      </pivotArea>
    </format>
    <format dxfId="1479">
      <pivotArea outline="0" fieldPosition="0">
        <references count="4">
          <reference field="4294967294" count="1" selected="0">
            <x v="2"/>
          </reference>
          <reference field="0" count="1" selected="0">
            <x v="15"/>
          </reference>
          <reference field="4" count="1" selected="0">
            <x v="5"/>
          </reference>
          <reference field="70" count="1" selected="0">
            <x v="0"/>
          </reference>
        </references>
      </pivotArea>
    </format>
    <format dxfId="1478">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1477">
      <pivotArea outline="0" fieldPosition="0">
        <references count="4">
          <reference field="4294967294" count="1" selected="0">
            <x v="26"/>
          </reference>
          <reference field="0" count="1" selected="0">
            <x v="15"/>
          </reference>
          <reference field="4" count="1" selected="0">
            <x v="2"/>
          </reference>
          <reference field="70" count="1" selected="0">
            <x v="0"/>
          </reference>
        </references>
      </pivotArea>
    </format>
    <format dxfId="1476">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1475">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1474">
      <pivotArea type="all" dataOnly="0" outline="0" fieldPosition="0"/>
    </format>
    <format dxfId="1473">
      <pivotArea outline="0" fieldPosition="0"/>
    </format>
    <format dxfId="1472">
      <pivotArea type="origin" dataOnly="0" labelOnly="1" outline="0" fieldPosition="0"/>
    </format>
    <format dxfId="1471">
      <pivotArea field="70" type="button" dataOnly="0" labelOnly="1" outline="0" axis="axisCol" fieldPosition="0"/>
    </format>
    <format dxfId="1470">
      <pivotArea field="4" type="button" dataOnly="0" labelOnly="1" outline="0" axis="axisCol" fieldPosition="1"/>
    </format>
    <format dxfId="1469">
      <pivotArea type="topRight" dataOnly="0" labelOnly="1" outline="0" fieldPosition="0"/>
    </format>
    <format dxfId="1468">
      <pivotArea field="0" type="button" dataOnly="0" labelOnly="1" outline="0" axis="axisRow" fieldPosition="0"/>
    </format>
    <format dxfId="1467">
      <pivotArea field="-2" type="button" dataOnly="0" labelOnly="1" outline="0" axis="axisRow" fieldPosition="1"/>
    </format>
    <format dxfId="1466">
      <pivotArea dataOnly="0" labelOnly="1" outline="0" fieldPosition="0">
        <references count="1">
          <reference field="0" count="0"/>
        </references>
      </pivotArea>
    </format>
    <format dxfId="1465">
      <pivotArea field="0" dataOnly="0" labelOnly="1" grandRow="1" outline="0" axis="axisRow" fieldPosition="0">
        <references count="1">
          <reference field="4294967294" count="1" selected="0">
            <x v="0"/>
          </reference>
        </references>
      </pivotArea>
    </format>
    <format dxfId="1464">
      <pivotArea field="0" dataOnly="0" labelOnly="1" grandRow="1" outline="0" axis="axisRow" fieldPosition="0">
        <references count="1">
          <reference field="4294967294" count="1" selected="0">
            <x v="1"/>
          </reference>
        </references>
      </pivotArea>
    </format>
    <format dxfId="1463">
      <pivotArea field="0" dataOnly="0" labelOnly="1" grandRow="1" outline="0" axis="axisRow" fieldPosition="0">
        <references count="1">
          <reference field="4294967294" count="1" selected="0">
            <x v="2"/>
          </reference>
        </references>
      </pivotArea>
    </format>
    <format dxfId="1462">
      <pivotArea field="0" dataOnly="0" labelOnly="1" grandRow="1" outline="0" axis="axisRow" fieldPosition="0">
        <references count="1">
          <reference field="4294967294" count="1" selected="0">
            <x v="3"/>
          </reference>
        </references>
      </pivotArea>
    </format>
    <format dxfId="1461">
      <pivotArea field="0" dataOnly="0" labelOnly="1" grandRow="1" outline="0" axis="axisRow" fieldPosition="0">
        <references count="1">
          <reference field="4294967294" count="1" selected="0">
            <x v="4"/>
          </reference>
        </references>
      </pivotArea>
    </format>
    <format dxfId="1460">
      <pivotArea field="0" dataOnly="0" labelOnly="1" grandRow="1" outline="0" axis="axisRow" fieldPosition="0">
        <references count="1">
          <reference field="4294967294" count="1" selected="0">
            <x v="5"/>
          </reference>
        </references>
      </pivotArea>
    </format>
    <format dxfId="1459">
      <pivotArea field="0" dataOnly="0" labelOnly="1" grandRow="1" outline="0" axis="axisRow" fieldPosition="0">
        <references count="1">
          <reference field="4294967294" count="1" selected="0">
            <x v="6"/>
          </reference>
        </references>
      </pivotArea>
    </format>
    <format dxfId="1458">
      <pivotArea field="0" dataOnly="0" labelOnly="1" grandRow="1" outline="0" axis="axisRow" fieldPosition="0">
        <references count="1">
          <reference field="4294967294" count="1" selected="0">
            <x v="7"/>
          </reference>
        </references>
      </pivotArea>
    </format>
    <format dxfId="1457">
      <pivotArea field="0" dataOnly="0" labelOnly="1" grandRow="1" outline="0" axis="axisRow" fieldPosition="0">
        <references count="1">
          <reference field="4294967294" count="1" selected="0">
            <x v="8"/>
          </reference>
        </references>
      </pivotArea>
    </format>
    <format dxfId="1456">
      <pivotArea field="0" dataOnly="0" labelOnly="1" grandRow="1" outline="0" axis="axisRow" fieldPosition="0">
        <references count="1">
          <reference field="4294967294" count="1" selected="0">
            <x v="9"/>
          </reference>
        </references>
      </pivotArea>
    </format>
    <format dxfId="1455">
      <pivotArea field="0" dataOnly="0" labelOnly="1" grandRow="1" outline="0" axis="axisRow" fieldPosition="0">
        <references count="1">
          <reference field="4294967294" count="1" selected="0">
            <x v="10"/>
          </reference>
        </references>
      </pivotArea>
    </format>
    <format dxfId="1454">
      <pivotArea field="0" dataOnly="0" labelOnly="1" grandRow="1" outline="0" axis="axisRow" fieldPosition="0">
        <references count="1">
          <reference field="4294967294" count="1" selected="0">
            <x v="11"/>
          </reference>
        </references>
      </pivotArea>
    </format>
    <format dxfId="1453">
      <pivotArea field="0" dataOnly="0" labelOnly="1" grandRow="1" outline="0" axis="axisRow" fieldPosition="0">
        <references count="1">
          <reference field="4294967294" count="1" selected="0">
            <x v="12"/>
          </reference>
        </references>
      </pivotArea>
    </format>
    <format dxfId="1452">
      <pivotArea field="0" dataOnly="0" labelOnly="1" grandRow="1" outline="0" axis="axisRow" fieldPosition="0">
        <references count="1">
          <reference field="4294967294" count="1" selected="0">
            <x v="13"/>
          </reference>
        </references>
      </pivotArea>
    </format>
    <format dxfId="1451">
      <pivotArea field="0" dataOnly="0" labelOnly="1" grandRow="1" outline="0" axis="axisRow" fieldPosition="0">
        <references count="1">
          <reference field="4294967294" count="1" selected="0">
            <x v="14"/>
          </reference>
        </references>
      </pivotArea>
    </format>
    <format dxfId="1450">
      <pivotArea field="0" dataOnly="0" labelOnly="1" grandRow="1" outline="0" axis="axisRow" fieldPosition="0">
        <references count="1">
          <reference field="4294967294" count="1" selected="0">
            <x v="15"/>
          </reference>
        </references>
      </pivotArea>
    </format>
    <format dxfId="1449">
      <pivotArea field="0" dataOnly="0" labelOnly="1" grandRow="1" outline="0" axis="axisRow" fieldPosition="0">
        <references count="1">
          <reference field="4294967294" count="1" selected="0">
            <x v="16"/>
          </reference>
        </references>
      </pivotArea>
    </format>
    <format dxfId="1448">
      <pivotArea field="0" dataOnly="0" labelOnly="1" grandRow="1" outline="0" axis="axisRow" fieldPosition="0">
        <references count="1">
          <reference field="4294967294" count="1" selected="0">
            <x v="17"/>
          </reference>
        </references>
      </pivotArea>
    </format>
    <format dxfId="1447">
      <pivotArea field="0" dataOnly="0" labelOnly="1" grandRow="1" outline="0" axis="axisRow" fieldPosition="0">
        <references count="1">
          <reference field="4294967294" count="1" selected="0">
            <x v="18"/>
          </reference>
        </references>
      </pivotArea>
    </format>
    <format dxfId="1446">
      <pivotArea field="0" dataOnly="0" labelOnly="1" grandRow="1" outline="0" axis="axisRow" fieldPosition="0">
        <references count="1">
          <reference field="4294967294" count="1" selected="0">
            <x v="19"/>
          </reference>
        </references>
      </pivotArea>
    </format>
    <format dxfId="1445">
      <pivotArea field="0" dataOnly="0" labelOnly="1" grandRow="1" outline="0" axis="axisRow" fieldPosition="0">
        <references count="1">
          <reference field="4294967294" count="1" selected="0">
            <x v="20"/>
          </reference>
        </references>
      </pivotArea>
    </format>
    <format dxfId="1444">
      <pivotArea field="0" dataOnly="0" labelOnly="1" grandRow="1" outline="0" axis="axisRow" fieldPosition="0">
        <references count="1">
          <reference field="4294967294" count="1" selected="0">
            <x v="21"/>
          </reference>
        </references>
      </pivotArea>
    </format>
    <format dxfId="1443">
      <pivotArea field="0" dataOnly="0" labelOnly="1" grandRow="1" outline="0" axis="axisRow" fieldPosition="0">
        <references count="1">
          <reference field="4294967294" count="1" selected="0">
            <x v="22"/>
          </reference>
        </references>
      </pivotArea>
    </format>
    <format dxfId="1442">
      <pivotArea field="0" dataOnly="0" labelOnly="1" grandRow="1" outline="0" axis="axisRow" fieldPosition="0">
        <references count="1">
          <reference field="4294967294" count="1" selected="0">
            <x v="23"/>
          </reference>
        </references>
      </pivotArea>
    </format>
    <format dxfId="1441">
      <pivotArea field="0" dataOnly="0" labelOnly="1" grandRow="1" outline="0" axis="axisRow" fieldPosition="0">
        <references count="1">
          <reference field="4294967294" count="1" selected="0">
            <x v="24"/>
          </reference>
        </references>
      </pivotArea>
    </format>
    <format dxfId="1440">
      <pivotArea field="0" dataOnly="0" labelOnly="1" grandRow="1" outline="0" axis="axisRow" fieldPosition="0">
        <references count="1">
          <reference field="4294967294" count="1" selected="0">
            <x v="25"/>
          </reference>
        </references>
      </pivotArea>
    </format>
    <format dxfId="1439">
      <pivotArea field="0" dataOnly="0" labelOnly="1" grandRow="1" outline="0" axis="axisRow" fieldPosition="0">
        <references count="1">
          <reference field="4294967294" count="1" selected="0">
            <x v="26"/>
          </reference>
        </references>
      </pivotArea>
    </format>
    <format dxfId="1438">
      <pivotArea field="0" dataOnly="0" labelOnly="1" grandRow="1" outline="0" axis="axisRow" fieldPosition="0">
        <references count="1">
          <reference field="4294967294" count="1" selected="0">
            <x v="27"/>
          </reference>
        </references>
      </pivotArea>
    </format>
    <format dxfId="1437">
      <pivotArea field="0" dataOnly="0" labelOnly="1" grandRow="1" outline="0" axis="axisRow" fieldPosition="0">
        <references count="1">
          <reference field="4294967294" count="1" selected="0">
            <x v="28"/>
          </reference>
        </references>
      </pivotArea>
    </format>
    <format dxfId="1436">
      <pivotArea field="0" dataOnly="0" labelOnly="1" grandRow="1" outline="0" axis="axisRow" fieldPosition="0">
        <references count="1">
          <reference field="4294967294" count="1" selected="0">
            <x v="29"/>
          </reference>
        </references>
      </pivotArea>
    </format>
    <format dxfId="1435">
      <pivotArea field="0" dataOnly="0" labelOnly="1" grandRow="1" outline="0" axis="axisRow" fieldPosition="0">
        <references count="1">
          <reference field="4294967294" count="1" selected="0">
            <x v="30"/>
          </reference>
        </references>
      </pivotArea>
    </format>
    <format dxfId="1434">
      <pivotArea field="0" dataOnly="0" labelOnly="1" grandRow="1" outline="0" axis="axisRow" fieldPosition="0">
        <references count="1">
          <reference field="4294967294" count="1" selected="0">
            <x v="31"/>
          </reference>
        </references>
      </pivotArea>
    </format>
    <format dxfId="1433">
      <pivotArea field="0" dataOnly="0" labelOnly="1" grandRow="1" outline="0" axis="axisRow" fieldPosition="0">
        <references count="1">
          <reference field="4294967294" count="1" selected="0">
            <x v="32"/>
          </reference>
        </references>
      </pivotArea>
    </format>
    <format dxfId="1432">
      <pivotArea field="0" dataOnly="0" labelOnly="1" grandRow="1" outline="0" axis="axisRow" fieldPosition="0">
        <references count="1">
          <reference field="4294967294" count="1" selected="0">
            <x v="33"/>
          </reference>
        </references>
      </pivotArea>
    </format>
    <format dxfId="1431">
      <pivotArea field="0" dataOnly="0" labelOnly="1" grandRow="1" outline="0" axis="axisRow" fieldPosition="0">
        <references count="1">
          <reference field="4294967294" count="1" selected="0">
            <x v="34"/>
          </reference>
        </references>
      </pivotArea>
    </format>
    <format dxfId="1430">
      <pivotArea field="0" dataOnly="0" labelOnly="1" grandRow="1" outline="0" axis="axisRow" fieldPosition="0">
        <references count="1">
          <reference field="4294967294" count="1" selected="0">
            <x v="0"/>
          </reference>
        </references>
      </pivotArea>
    </format>
    <format dxfId="1429">
      <pivotArea field="0" dataOnly="0" labelOnly="1" grandRow="1" outline="0" axis="axisRow" fieldPosition="0">
        <references count="1">
          <reference field="4294967294" count="1" selected="0">
            <x v="1"/>
          </reference>
        </references>
      </pivotArea>
    </format>
    <format dxfId="1428">
      <pivotArea field="0" dataOnly="0" labelOnly="1" grandRow="1" outline="0" axis="axisRow" fieldPosition="0">
        <references count="1">
          <reference field="4294967294" count="1" selected="0">
            <x v="2"/>
          </reference>
        </references>
      </pivotArea>
    </format>
    <format dxfId="1427">
      <pivotArea field="0" dataOnly="0" labelOnly="1" grandRow="1" outline="0" axis="axisRow" fieldPosition="0">
        <references count="1">
          <reference field="4294967294" count="1" selected="0">
            <x v="3"/>
          </reference>
        </references>
      </pivotArea>
    </format>
    <format dxfId="1426">
      <pivotArea field="0" dataOnly="0" labelOnly="1" grandRow="1" outline="0" axis="axisRow" fieldPosition="0">
        <references count="1">
          <reference field="4294967294" count="1" selected="0">
            <x v="4"/>
          </reference>
        </references>
      </pivotArea>
    </format>
    <format dxfId="1425">
      <pivotArea field="0" dataOnly="0" labelOnly="1" grandRow="1" outline="0" axis="axisRow" fieldPosition="0">
        <references count="1">
          <reference field="4294967294" count="1" selected="0">
            <x v="5"/>
          </reference>
        </references>
      </pivotArea>
    </format>
    <format dxfId="1424">
      <pivotArea field="0" dataOnly="0" labelOnly="1" grandRow="1" outline="0" axis="axisRow" fieldPosition="0">
        <references count="1">
          <reference field="4294967294" count="1" selected="0">
            <x v="6"/>
          </reference>
        </references>
      </pivotArea>
    </format>
    <format dxfId="1423">
      <pivotArea field="0" dataOnly="0" labelOnly="1" grandRow="1" outline="0" axis="axisRow" fieldPosition="0">
        <references count="1">
          <reference field="4294967294" count="1" selected="0">
            <x v="7"/>
          </reference>
        </references>
      </pivotArea>
    </format>
    <format dxfId="1422">
      <pivotArea field="0" dataOnly="0" labelOnly="1" grandRow="1" outline="0" axis="axisRow" fieldPosition="0">
        <references count="1">
          <reference field="4294967294" count="1" selected="0">
            <x v="8"/>
          </reference>
        </references>
      </pivotArea>
    </format>
    <format dxfId="1421">
      <pivotArea field="0" dataOnly="0" labelOnly="1" grandRow="1" outline="0" axis="axisRow" fieldPosition="0">
        <references count="1">
          <reference field="4294967294" count="1" selected="0">
            <x v="9"/>
          </reference>
        </references>
      </pivotArea>
    </format>
    <format dxfId="1420">
      <pivotArea field="0" dataOnly="0" labelOnly="1" grandRow="1" outline="0" axis="axisRow" fieldPosition="0">
        <references count="1">
          <reference field="4294967294" count="1" selected="0">
            <x v="10"/>
          </reference>
        </references>
      </pivotArea>
    </format>
    <format dxfId="1419">
      <pivotArea field="0" dataOnly="0" labelOnly="1" grandRow="1" outline="0" axis="axisRow" fieldPosition="0">
        <references count="1">
          <reference field="4294967294" count="1" selected="0">
            <x v="11"/>
          </reference>
        </references>
      </pivotArea>
    </format>
    <format dxfId="1418">
      <pivotArea field="0" dataOnly="0" labelOnly="1" grandRow="1" outline="0" axis="axisRow" fieldPosition="0">
        <references count="1">
          <reference field="4294967294" count="1" selected="0">
            <x v="12"/>
          </reference>
        </references>
      </pivotArea>
    </format>
    <format dxfId="1417">
      <pivotArea field="0" dataOnly="0" labelOnly="1" grandRow="1" outline="0" axis="axisRow" fieldPosition="0">
        <references count="1">
          <reference field="4294967294" count="1" selected="0">
            <x v="13"/>
          </reference>
        </references>
      </pivotArea>
    </format>
    <format dxfId="1416">
      <pivotArea field="0" dataOnly="0" labelOnly="1" grandRow="1" outline="0" axis="axisRow" fieldPosition="0">
        <references count="1">
          <reference field="4294967294" count="1" selected="0">
            <x v="14"/>
          </reference>
        </references>
      </pivotArea>
    </format>
    <format dxfId="1415">
      <pivotArea field="0" dataOnly="0" labelOnly="1" grandRow="1" outline="0" axis="axisRow" fieldPosition="0">
        <references count="1">
          <reference field="4294967294" count="1" selected="0">
            <x v="15"/>
          </reference>
        </references>
      </pivotArea>
    </format>
    <format dxfId="1414">
      <pivotArea field="0" dataOnly="0" labelOnly="1" grandRow="1" outline="0" axis="axisRow" fieldPosition="0">
        <references count="1">
          <reference field="4294967294" count="1" selected="0">
            <x v="16"/>
          </reference>
        </references>
      </pivotArea>
    </format>
    <format dxfId="1413">
      <pivotArea field="0" dataOnly="0" labelOnly="1" grandRow="1" outline="0" axis="axisRow" fieldPosition="0">
        <references count="1">
          <reference field="4294967294" count="1" selected="0">
            <x v="17"/>
          </reference>
        </references>
      </pivotArea>
    </format>
    <format dxfId="1412">
      <pivotArea field="0" dataOnly="0" labelOnly="1" grandRow="1" outline="0" axis="axisRow" fieldPosition="0">
        <references count="1">
          <reference field="4294967294" count="1" selected="0">
            <x v="18"/>
          </reference>
        </references>
      </pivotArea>
    </format>
    <format dxfId="1411">
      <pivotArea field="0" dataOnly="0" labelOnly="1" grandRow="1" outline="0" axis="axisRow" fieldPosition="0">
        <references count="1">
          <reference field="4294967294" count="1" selected="0">
            <x v="19"/>
          </reference>
        </references>
      </pivotArea>
    </format>
    <format dxfId="1410">
      <pivotArea field="0" dataOnly="0" labelOnly="1" grandRow="1" outline="0" axis="axisRow" fieldPosition="0">
        <references count="1">
          <reference field="4294967294" count="1" selected="0">
            <x v="20"/>
          </reference>
        </references>
      </pivotArea>
    </format>
    <format dxfId="1409">
      <pivotArea field="0" dataOnly="0" labelOnly="1" grandRow="1" outline="0" axis="axisRow" fieldPosition="0">
        <references count="1">
          <reference field="4294967294" count="1" selected="0">
            <x v="21"/>
          </reference>
        </references>
      </pivotArea>
    </format>
    <format dxfId="1408">
      <pivotArea field="0" dataOnly="0" labelOnly="1" grandRow="1" outline="0" axis="axisRow" fieldPosition="0">
        <references count="1">
          <reference field="4294967294" count="1" selected="0">
            <x v="22"/>
          </reference>
        </references>
      </pivotArea>
    </format>
    <format dxfId="1407">
      <pivotArea field="0" dataOnly="0" labelOnly="1" grandRow="1" outline="0" axis="axisRow" fieldPosition="0">
        <references count="1">
          <reference field="4294967294" count="1" selected="0">
            <x v="23"/>
          </reference>
        </references>
      </pivotArea>
    </format>
    <format dxfId="1406">
      <pivotArea field="0" dataOnly="0" labelOnly="1" grandRow="1" outline="0" axis="axisRow" fieldPosition="0">
        <references count="1">
          <reference field="4294967294" count="1" selected="0">
            <x v="24"/>
          </reference>
        </references>
      </pivotArea>
    </format>
    <format dxfId="1405">
      <pivotArea field="0" dataOnly="0" labelOnly="1" grandRow="1" outline="0" axis="axisRow" fieldPosition="0">
        <references count="1">
          <reference field="4294967294" count="1" selected="0">
            <x v="25"/>
          </reference>
        </references>
      </pivotArea>
    </format>
    <format dxfId="1404">
      <pivotArea field="0" dataOnly="0" labelOnly="1" grandRow="1" outline="0" axis="axisRow" fieldPosition="0">
        <references count="1">
          <reference field="4294967294" count="1" selected="0">
            <x v="26"/>
          </reference>
        </references>
      </pivotArea>
    </format>
    <format dxfId="1403">
      <pivotArea field="0" dataOnly="0" labelOnly="1" grandRow="1" outline="0" axis="axisRow" fieldPosition="0">
        <references count="1">
          <reference field="4294967294" count="1" selected="0">
            <x v="27"/>
          </reference>
        </references>
      </pivotArea>
    </format>
    <format dxfId="1402">
      <pivotArea field="0" dataOnly="0" labelOnly="1" grandRow="1" outline="0" axis="axisRow" fieldPosition="0">
        <references count="1">
          <reference field="4294967294" count="1" selected="0">
            <x v="28"/>
          </reference>
        </references>
      </pivotArea>
    </format>
    <format dxfId="1401">
      <pivotArea field="0" dataOnly="0" labelOnly="1" grandRow="1" outline="0" axis="axisRow" fieldPosition="0">
        <references count="1">
          <reference field="4294967294" count="1" selected="0">
            <x v="29"/>
          </reference>
        </references>
      </pivotArea>
    </format>
    <format dxfId="1400">
      <pivotArea field="0" dataOnly="0" labelOnly="1" grandRow="1" outline="0" axis="axisRow" fieldPosition="0">
        <references count="1">
          <reference field="4294967294" count="1" selected="0">
            <x v="30"/>
          </reference>
        </references>
      </pivotArea>
    </format>
    <format dxfId="1399">
      <pivotArea field="0" dataOnly="0" labelOnly="1" grandRow="1" outline="0" axis="axisRow" fieldPosition="0">
        <references count="1">
          <reference field="4294967294" count="1" selected="0">
            <x v="31"/>
          </reference>
        </references>
      </pivotArea>
    </format>
    <format dxfId="1398">
      <pivotArea field="0" dataOnly="0" labelOnly="1" grandRow="1" outline="0" axis="axisRow" fieldPosition="0">
        <references count="1">
          <reference field="4294967294" count="1" selected="0">
            <x v="32"/>
          </reference>
        </references>
      </pivotArea>
    </format>
    <format dxfId="1397">
      <pivotArea field="0" dataOnly="0" labelOnly="1" grandRow="1" outline="0" axis="axisRow" fieldPosition="0">
        <references count="1">
          <reference field="4294967294" count="1" selected="0">
            <x v="33"/>
          </reference>
        </references>
      </pivotArea>
    </format>
    <format dxfId="1396">
      <pivotArea field="0" dataOnly="0" labelOnly="1" grandRow="1" outline="0" axis="axisRow" fieldPosition="0">
        <references count="1">
          <reference field="4294967294" count="1" selected="0">
            <x v="34"/>
          </reference>
        </references>
      </pivotArea>
    </format>
    <format dxfId="1395">
      <pivotArea field="0" dataOnly="0" labelOnly="1" grandRow="1" outline="0" axis="axisRow" fieldPosition="0">
        <references count="1">
          <reference field="4294967294" count="1" selected="0">
            <x v="35"/>
          </reference>
        </references>
      </pivotArea>
    </format>
    <format dxfId="1394">
      <pivotArea field="0" dataOnly="0" labelOnly="1" grandRow="1" outline="0" axis="axisRow" fieldPosition="0">
        <references count="1">
          <reference field="4294967294" count="1" selected="0">
            <x v="0"/>
          </reference>
        </references>
      </pivotArea>
    </format>
    <format dxfId="1393">
      <pivotArea field="0" dataOnly="0" labelOnly="1" grandRow="1" outline="0" axis="axisRow" fieldPosition="0">
        <references count="1">
          <reference field="4294967294" count="1" selected="0">
            <x v="1"/>
          </reference>
        </references>
      </pivotArea>
    </format>
    <format dxfId="1392">
      <pivotArea field="0" dataOnly="0" labelOnly="1" grandRow="1" outline="0" axis="axisRow" fieldPosition="0">
        <references count="1">
          <reference field="4294967294" count="1" selected="0">
            <x v="2"/>
          </reference>
        </references>
      </pivotArea>
    </format>
    <format dxfId="1391">
      <pivotArea field="0" dataOnly="0" labelOnly="1" grandRow="1" outline="0" axis="axisRow" fieldPosition="0">
        <references count="1">
          <reference field="4294967294" count="1" selected="0">
            <x v="3"/>
          </reference>
        </references>
      </pivotArea>
    </format>
    <format dxfId="1390">
      <pivotArea field="0" dataOnly="0" labelOnly="1" grandRow="1" outline="0" axis="axisRow" fieldPosition="0">
        <references count="1">
          <reference field="4294967294" count="1" selected="0">
            <x v="4"/>
          </reference>
        </references>
      </pivotArea>
    </format>
    <format dxfId="1389">
      <pivotArea field="0" dataOnly="0" labelOnly="1" grandRow="1" outline="0" axis="axisRow" fieldPosition="0">
        <references count="1">
          <reference field="4294967294" count="1" selected="0">
            <x v="5"/>
          </reference>
        </references>
      </pivotArea>
    </format>
    <format dxfId="1388">
      <pivotArea field="0" dataOnly="0" labelOnly="1" grandRow="1" outline="0" axis="axisRow" fieldPosition="0">
        <references count="1">
          <reference field="4294967294" count="1" selected="0">
            <x v="6"/>
          </reference>
        </references>
      </pivotArea>
    </format>
    <format dxfId="1387">
      <pivotArea field="0" dataOnly="0" labelOnly="1" grandRow="1" outline="0" axis="axisRow" fieldPosition="0">
        <references count="1">
          <reference field="4294967294" count="1" selected="0">
            <x v="7"/>
          </reference>
        </references>
      </pivotArea>
    </format>
    <format dxfId="1386">
      <pivotArea field="0" dataOnly="0" labelOnly="1" grandRow="1" outline="0" axis="axisRow" fieldPosition="0">
        <references count="1">
          <reference field="4294967294" count="1" selected="0">
            <x v="8"/>
          </reference>
        </references>
      </pivotArea>
    </format>
    <format dxfId="1385">
      <pivotArea field="0" dataOnly="0" labelOnly="1" grandRow="1" outline="0" axis="axisRow" fieldPosition="0">
        <references count="1">
          <reference field="4294967294" count="1" selected="0">
            <x v="9"/>
          </reference>
        </references>
      </pivotArea>
    </format>
    <format dxfId="1384">
      <pivotArea field="0" dataOnly="0" labelOnly="1" grandRow="1" outline="0" axis="axisRow" fieldPosition="0">
        <references count="1">
          <reference field="4294967294" count="1" selected="0">
            <x v="10"/>
          </reference>
        </references>
      </pivotArea>
    </format>
    <format dxfId="1383">
      <pivotArea field="0" dataOnly="0" labelOnly="1" grandRow="1" outline="0" axis="axisRow" fieldPosition="0">
        <references count="1">
          <reference field="4294967294" count="1" selected="0">
            <x v="11"/>
          </reference>
        </references>
      </pivotArea>
    </format>
    <format dxfId="1382">
      <pivotArea field="0" dataOnly="0" labelOnly="1" grandRow="1" outline="0" axis="axisRow" fieldPosition="0">
        <references count="1">
          <reference field="4294967294" count="1" selected="0">
            <x v="12"/>
          </reference>
        </references>
      </pivotArea>
    </format>
    <format dxfId="1381">
      <pivotArea field="0" dataOnly="0" labelOnly="1" grandRow="1" outline="0" axis="axisRow" fieldPosition="0">
        <references count="1">
          <reference field="4294967294" count="1" selected="0">
            <x v="13"/>
          </reference>
        </references>
      </pivotArea>
    </format>
    <format dxfId="1380">
      <pivotArea field="0" dataOnly="0" labelOnly="1" grandRow="1" outline="0" axis="axisRow" fieldPosition="0">
        <references count="1">
          <reference field="4294967294" count="1" selected="0">
            <x v="14"/>
          </reference>
        </references>
      </pivotArea>
    </format>
    <format dxfId="1379">
      <pivotArea field="0" dataOnly="0" labelOnly="1" grandRow="1" outline="0" axis="axisRow" fieldPosition="0">
        <references count="1">
          <reference field="4294967294" count="1" selected="0">
            <x v="15"/>
          </reference>
        </references>
      </pivotArea>
    </format>
    <format dxfId="1378">
      <pivotArea field="0" dataOnly="0" labelOnly="1" grandRow="1" outline="0" axis="axisRow" fieldPosition="0">
        <references count="1">
          <reference field="4294967294" count="1" selected="0">
            <x v="16"/>
          </reference>
        </references>
      </pivotArea>
    </format>
    <format dxfId="1377">
      <pivotArea field="0" dataOnly="0" labelOnly="1" grandRow="1" outline="0" axis="axisRow" fieldPosition="0">
        <references count="1">
          <reference field="4294967294" count="1" selected="0">
            <x v="17"/>
          </reference>
        </references>
      </pivotArea>
    </format>
    <format dxfId="1376">
      <pivotArea field="0" dataOnly="0" labelOnly="1" grandRow="1" outline="0" axis="axisRow" fieldPosition="0">
        <references count="1">
          <reference field="4294967294" count="1" selected="0">
            <x v="18"/>
          </reference>
        </references>
      </pivotArea>
    </format>
    <format dxfId="1375">
      <pivotArea field="0" dataOnly="0" labelOnly="1" grandRow="1" outline="0" axis="axisRow" fieldPosition="0">
        <references count="1">
          <reference field="4294967294" count="1" selected="0">
            <x v="19"/>
          </reference>
        </references>
      </pivotArea>
    </format>
    <format dxfId="1374">
      <pivotArea field="0" dataOnly="0" labelOnly="1" grandRow="1" outline="0" axis="axisRow" fieldPosition="0">
        <references count="1">
          <reference field="4294967294" count="1" selected="0">
            <x v="20"/>
          </reference>
        </references>
      </pivotArea>
    </format>
    <format dxfId="1373">
      <pivotArea field="0" dataOnly="0" labelOnly="1" grandRow="1" outline="0" axis="axisRow" fieldPosition="0">
        <references count="1">
          <reference field="4294967294" count="1" selected="0">
            <x v="21"/>
          </reference>
        </references>
      </pivotArea>
    </format>
    <format dxfId="1372">
      <pivotArea field="0" dataOnly="0" labelOnly="1" grandRow="1" outline="0" axis="axisRow" fieldPosition="0">
        <references count="1">
          <reference field="4294967294" count="1" selected="0">
            <x v="22"/>
          </reference>
        </references>
      </pivotArea>
    </format>
    <format dxfId="1371">
      <pivotArea field="0" dataOnly="0" labelOnly="1" grandRow="1" outline="0" axis="axisRow" fieldPosition="0">
        <references count="1">
          <reference field="4294967294" count="1" selected="0">
            <x v="23"/>
          </reference>
        </references>
      </pivotArea>
    </format>
    <format dxfId="1370">
      <pivotArea field="0" dataOnly="0" labelOnly="1" grandRow="1" outline="0" axis="axisRow" fieldPosition="0">
        <references count="1">
          <reference field="4294967294" count="1" selected="0">
            <x v="24"/>
          </reference>
        </references>
      </pivotArea>
    </format>
    <format dxfId="1369">
      <pivotArea field="0" dataOnly="0" labelOnly="1" grandRow="1" outline="0" axis="axisRow" fieldPosition="0">
        <references count="1">
          <reference field="4294967294" count="1" selected="0">
            <x v="25"/>
          </reference>
        </references>
      </pivotArea>
    </format>
    <format dxfId="1368">
      <pivotArea field="0" dataOnly="0" labelOnly="1" grandRow="1" outline="0" axis="axisRow" fieldPosition="0">
        <references count="1">
          <reference field="4294967294" count="1" selected="0">
            <x v="26"/>
          </reference>
        </references>
      </pivotArea>
    </format>
    <format dxfId="1367">
      <pivotArea field="0" dataOnly="0" labelOnly="1" grandRow="1" outline="0" axis="axisRow" fieldPosition="0">
        <references count="1">
          <reference field="4294967294" count="1" selected="0">
            <x v="27"/>
          </reference>
        </references>
      </pivotArea>
    </format>
    <format dxfId="1366">
      <pivotArea field="0" dataOnly="0" labelOnly="1" grandRow="1" outline="0" axis="axisRow" fieldPosition="0">
        <references count="1">
          <reference field="4294967294" count="1" selected="0">
            <x v="28"/>
          </reference>
        </references>
      </pivotArea>
    </format>
    <format dxfId="1365">
      <pivotArea field="0" dataOnly="0" labelOnly="1" grandRow="1" outline="0" axis="axisRow" fieldPosition="0">
        <references count="1">
          <reference field="4294967294" count="1" selected="0">
            <x v="29"/>
          </reference>
        </references>
      </pivotArea>
    </format>
    <format dxfId="1364">
      <pivotArea field="0" dataOnly="0" labelOnly="1" grandRow="1" outline="0" axis="axisRow" fieldPosition="0">
        <references count="1">
          <reference field="4294967294" count="1" selected="0">
            <x v="30"/>
          </reference>
        </references>
      </pivotArea>
    </format>
    <format dxfId="1363">
      <pivotArea field="0" dataOnly="0" labelOnly="1" grandRow="1" outline="0" axis="axisRow" fieldPosition="0">
        <references count="1">
          <reference field="4294967294" count="1" selected="0">
            <x v="31"/>
          </reference>
        </references>
      </pivotArea>
    </format>
    <format dxfId="1362">
      <pivotArea field="0" dataOnly="0" labelOnly="1" grandRow="1" outline="0" axis="axisRow" fieldPosition="0">
        <references count="1">
          <reference field="4294967294" count="1" selected="0">
            <x v="32"/>
          </reference>
        </references>
      </pivotArea>
    </format>
    <format dxfId="1361">
      <pivotArea field="0" dataOnly="0" labelOnly="1" grandRow="1" outline="0" axis="axisRow" fieldPosition="0">
        <references count="1">
          <reference field="4294967294" count="1" selected="0">
            <x v="33"/>
          </reference>
        </references>
      </pivotArea>
    </format>
    <format dxfId="1360">
      <pivotArea field="0" dataOnly="0" labelOnly="1" grandRow="1" outline="0" axis="axisRow" fieldPosition="0">
        <references count="1">
          <reference field="4294967294" count="1" selected="0">
            <x v="34"/>
          </reference>
        </references>
      </pivotArea>
    </format>
    <format dxfId="1359">
      <pivotArea field="0" dataOnly="0" labelOnly="1" grandRow="1" outline="0" axis="axisRow" fieldPosition="0">
        <references count="1">
          <reference field="4294967294" count="1" selected="0">
            <x v="35"/>
          </reference>
        </references>
      </pivotArea>
    </format>
    <format dxfId="1358">
      <pivotArea field="0" dataOnly="0" labelOnly="1" grandRow="1" outline="0" axis="axisRow" fieldPosition="0">
        <references count="1">
          <reference field="4294967294" count="1" selected="0">
            <x v="0"/>
          </reference>
        </references>
      </pivotArea>
    </format>
    <format dxfId="1357">
      <pivotArea field="0" dataOnly="0" labelOnly="1" grandRow="1" outline="0" axis="axisRow" fieldPosition="0">
        <references count="1">
          <reference field="4294967294" count="1" selected="0">
            <x v="1"/>
          </reference>
        </references>
      </pivotArea>
    </format>
    <format dxfId="1356">
      <pivotArea field="0" dataOnly="0" labelOnly="1" grandRow="1" outline="0" axis="axisRow" fieldPosition="0">
        <references count="1">
          <reference field="4294967294" count="1" selected="0">
            <x v="2"/>
          </reference>
        </references>
      </pivotArea>
    </format>
    <format dxfId="1355">
      <pivotArea field="0" dataOnly="0" labelOnly="1" grandRow="1" outline="0" axis="axisRow" fieldPosition="0">
        <references count="1">
          <reference field="4294967294" count="1" selected="0">
            <x v="3"/>
          </reference>
        </references>
      </pivotArea>
    </format>
    <format dxfId="1354">
      <pivotArea field="0" dataOnly="0" labelOnly="1" grandRow="1" outline="0" axis="axisRow" fieldPosition="0">
        <references count="1">
          <reference field="4294967294" count="1" selected="0">
            <x v="4"/>
          </reference>
        </references>
      </pivotArea>
    </format>
    <format dxfId="1353">
      <pivotArea field="0" dataOnly="0" labelOnly="1" grandRow="1" outline="0" axis="axisRow" fieldPosition="0">
        <references count="1">
          <reference field="4294967294" count="1" selected="0">
            <x v="5"/>
          </reference>
        </references>
      </pivotArea>
    </format>
    <format dxfId="1352">
      <pivotArea field="0" dataOnly="0" labelOnly="1" grandRow="1" outline="0" axis="axisRow" fieldPosition="0">
        <references count="1">
          <reference field="4294967294" count="1" selected="0">
            <x v="6"/>
          </reference>
        </references>
      </pivotArea>
    </format>
    <format dxfId="1351">
      <pivotArea field="0" dataOnly="0" labelOnly="1" grandRow="1" outline="0" axis="axisRow" fieldPosition="0">
        <references count="1">
          <reference field="4294967294" count="1" selected="0">
            <x v="7"/>
          </reference>
        </references>
      </pivotArea>
    </format>
    <format dxfId="1350">
      <pivotArea field="0" dataOnly="0" labelOnly="1" grandRow="1" outline="0" axis="axisRow" fieldPosition="0">
        <references count="1">
          <reference field="4294967294" count="1" selected="0">
            <x v="8"/>
          </reference>
        </references>
      </pivotArea>
    </format>
    <format dxfId="1349">
      <pivotArea field="0" dataOnly="0" labelOnly="1" grandRow="1" outline="0" axis="axisRow" fieldPosition="0">
        <references count="1">
          <reference field="4294967294" count="1" selected="0">
            <x v="9"/>
          </reference>
        </references>
      </pivotArea>
    </format>
    <format dxfId="1348">
      <pivotArea field="0" dataOnly="0" labelOnly="1" grandRow="1" outline="0" axis="axisRow" fieldPosition="0">
        <references count="1">
          <reference field="4294967294" count="1" selected="0">
            <x v="10"/>
          </reference>
        </references>
      </pivotArea>
    </format>
    <format dxfId="1347">
      <pivotArea field="0" dataOnly="0" labelOnly="1" grandRow="1" outline="0" axis="axisRow" fieldPosition="0">
        <references count="1">
          <reference field="4294967294" count="1" selected="0">
            <x v="11"/>
          </reference>
        </references>
      </pivotArea>
    </format>
    <format dxfId="1346">
      <pivotArea field="0" dataOnly="0" labelOnly="1" grandRow="1" outline="0" axis="axisRow" fieldPosition="0">
        <references count="1">
          <reference field="4294967294" count="1" selected="0">
            <x v="12"/>
          </reference>
        </references>
      </pivotArea>
    </format>
    <format dxfId="1345">
      <pivotArea field="0" dataOnly="0" labelOnly="1" grandRow="1" outline="0" axis="axisRow" fieldPosition="0">
        <references count="1">
          <reference field="4294967294" count="1" selected="0">
            <x v="13"/>
          </reference>
        </references>
      </pivotArea>
    </format>
    <format dxfId="1344">
      <pivotArea field="0" dataOnly="0" labelOnly="1" grandRow="1" outline="0" axis="axisRow" fieldPosition="0">
        <references count="1">
          <reference field="4294967294" count="1" selected="0">
            <x v="14"/>
          </reference>
        </references>
      </pivotArea>
    </format>
    <format dxfId="1343">
      <pivotArea field="0" dataOnly="0" labelOnly="1" grandRow="1" outline="0" axis="axisRow" fieldPosition="0">
        <references count="1">
          <reference field="4294967294" count="1" selected="0">
            <x v="15"/>
          </reference>
        </references>
      </pivotArea>
    </format>
    <format dxfId="1342">
      <pivotArea field="0" dataOnly="0" labelOnly="1" grandRow="1" outline="0" axis="axisRow" fieldPosition="0">
        <references count="1">
          <reference field="4294967294" count="1" selected="0">
            <x v="16"/>
          </reference>
        </references>
      </pivotArea>
    </format>
    <format dxfId="1341">
      <pivotArea field="0" dataOnly="0" labelOnly="1" grandRow="1" outline="0" axis="axisRow" fieldPosition="0">
        <references count="1">
          <reference field="4294967294" count="1" selected="0">
            <x v="17"/>
          </reference>
        </references>
      </pivotArea>
    </format>
    <format dxfId="1340">
      <pivotArea field="0" dataOnly="0" labelOnly="1" grandRow="1" outline="0" axis="axisRow" fieldPosition="0">
        <references count="1">
          <reference field="4294967294" count="1" selected="0">
            <x v="18"/>
          </reference>
        </references>
      </pivotArea>
    </format>
    <format dxfId="1339">
      <pivotArea field="0" dataOnly="0" labelOnly="1" grandRow="1" outline="0" axis="axisRow" fieldPosition="0">
        <references count="1">
          <reference field="4294967294" count="1" selected="0">
            <x v="19"/>
          </reference>
        </references>
      </pivotArea>
    </format>
    <format dxfId="1338">
      <pivotArea field="0" dataOnly="0" labelOnly="1" grandRow="1" outline="0" axis="axisRow" fieldPosition="0">
        <references count="1">
          <reference field="4294967294" count="1" selected="0">
            <x v="20"/>
          </reference>
        </references>
      </pivotArea>
    </format>
    <format dxfId="1337">
      <pivotArea field="0" dataOnly="0" labelOnly="1" grandRow="1" outline="0" axis="axisRow" fieldPosition="0">
        <references count="1">
          <reference field="4294967294" count="1" selected="0">
            <x v="21"/>
          </reference>
        </references>
      </pivotArea>
    </format>
    <format dxfId="1336">
      <pivotArea field="0" dataOnly="0" labelOnly="1" grandRow="1" outline="0" axis="axisRow" fieldPosition="0">
        <references count="1">
          <reference field="4294967294" count="1" selected="0">
            <x v="22"/>
          </reference>
        </references>
      </pivotArea>
    </format>
    <format dxfId="1335">
      <pivotArea field="0" dataOnly="0" labelOnly="1" grandRow="1" outline="0" axis="axisRow" fieldPosition="0">
        <references count="1">
          <reference field="4294967294" count="1" selected="0">
            <x v="23"/>
          </reference>
        </references>
      </pivotArea>
    </format>
    <format dxfId="1334">
      <pivotArea field="0" dataOnly="0" labelOnly="1" grandRow="1" outline="0" axis="axisRow" fieldPosition="0">
        <references count="1">
          <reference field="4294967294" count="1" selected="0">
            <x v="24"/>
          </reference>
        </references>
      </pivotArea>
    </format>
    <format dxfId="1333">
      <pivotArea field="0" dataOnly="0" labelOnly="1" grandRow="1" outline="0" axis="axisRow" fieldPosition="0">
        <references count="1">
          <reference field="4294967294" count="1" selected="0">
            <x v="25"/>
          </reference>
        </references>
      </pivotArea>
    </format>
    <format dxfId="1332">
      <pivotArea field="0" dataOnly="0" labelOnly="1" grandRow="1" outline="0" axis="axisRow" fieldPosition="0">
        <references count="1">
          <reference field="4294967294" count="1" selected="0">
            <x v="26"/>
          </reference>
        </references>
      </pivotArea>
    </format>
    <format dxfId="1331">
      <pivotArea field="0" dataOnly="0" labelOnly="1" grandRow="1" outline="0" axis="axisRow" fieldPosition="0">
        <references count="1">
          <reference field="4294967294" count="1" selected="0">
            <x v="27"/>
          </reference>
        </references>
      </pivotArea>
    </format>
    <format dxfId="1330">
      <pivotArea field="0" dataOnly="0" labelOnly="1" grandRow="1" outline="0" axis="axisRow" fieldPosition="0">
        <references count="1">
          <reference field="4294967294" count="1" selected="0">
            <x v="28"/>
          </reference>
        </references>
      </pivotArea>
    </format>
    <format dxfId="1329">
      <pivotArea field="0" dataOnly="0" labelOnly="1" grandRow="1" outline="0" axis="axisRow" fieldPosition="0">
        <references count="1">
          <reference field="4294967294" count="1" selected="0">
            <x v="29"/>
          </reference>
        </references>
      </pivotArea>
    </format>
    <format dxfId="1328">
      <pivotArea field="0" dataOnly="0" labelOnly="1" grandRow="1" outline="0" axis="axisRow" fieldPosition="0">
        <references count="1">
          <reference field="4294967294" count="1" selected="0">
            <x v="30"/>
          </reference>
        </references>
      </pivotArea>
    </format>
    <format dxfId="1327">
      <pivotArea field="0" dataOnly="0" labelOnly="1" grandRow="1" outline="0" axis="axisRow" fieldPosition="0">
        <references count="1">
          <reference field="4294967294" count="1" selected="0">
            <x v="31"/>
          </reference>
        </references>
      </pivotArea>
    </format>
    <format dxfId="1326">
      <pivotArea field="0" dataOnly="0" labelOnly="1" grandRow="1" outline="0" axis="axisRow" fieldPosition="0">
        <references count="1">
          <reference field="4294967294" count="1" selected="0">
            <x v="32"/>
          </reference>
        </references>
      </pivotArea>
    </format>
    <format dxfId="1325">
      <pivotArea field="0" dataOnly="0" labelOnly="1" grandRow="1" outline="0" axis="axisRow" fieldPosition="0">
        <references count="1">
          <reference field="4294967294" count="1" selected="0">
            <x v="33"/>
          </reference>
        </references>
      </pivotArea>
    </format>
    <format dxfId="1324">
      <pivotArea field="0" dataOnly="0" labelOnly="1" grandRow="1" outline="0" axis="axisRow" fieldPosition="0">
        <references count="1">
          <reference field="4294967294" count="1" selected="0">
            <x v="34"/>
          </reference>
        </references>
      </pivotArea>
    </format>
    <format dxfId="1323">
      <pivotArea field="0" dataOnly="0" labelOnly="1" grandRow="1" outline="0" axis="axisRow" fieldPosition="0">
        <references count="1">
          <reference field="4294967294" count="1" selected="0">
            <x v="35"/>
          </reference>
        </references>
      </pivotArea>
    </format>
    <format dxfId="1322">
      <pivotArea field="0" dataOnly="0" labelOnly="1" grandRow="1" outline="0" axis="axisRow" fieldPosition="0">
        <references count="1">
          <reference field="4294967294" count="1" selected="0">
            <x v="0"/>
          </reference>
        </references>
      </pivotArea>
    </format>
    <format dxfId="1321">
      <pivotArea field="0" dataOnly="0" labelOnly="1" grandRow="1" outline="0" axis="axisRow" fieldPosition="0">
        <references count="1">
          <reference field="4294967294" count="1" selected="0">
            <x v="1"/>
          </reference>
        </references>
      </pivotArea>
    </format>
    <format dxfId="1320">
      <pivotArea field="0" dataOnly="0" labelOnly="1" grandRow="1" outline="0" axis="axisRow" fieldPosition="0">
        <references count="1">
          <reference field="4294967294" count="1" selected="0">
            <x v="2"/>
          </reference>
        </references>
      </pivotArea>
    </format>
    <format dxfId="1319">
      <pivotArea field="0" dataOnly="0" labelOnly="1" grandRow="1" outline="0" axis="axisRow" fieldPosition="0">
        <references count="1">
          <reference field="4294967294" count="1" selected="0">
            <x v="3"/>
          </reference>
        </references>
      </pivotArea>
    </format>
    <format dxfId="1318">
      <pivotArea field="0" dataOnly="0" labelOnly="1" grandRow="1" outline="0" axis="axisRow" fieldPosition="0">
        <references count="1">
          <reference field="4294967294" count="1" selected="0">
            <x v="4"/>
          </reference>
        </references>
      </pivotArea>
    </format>
    <format dxfId="1317">
      <pivotArea field="0" dataOnly="0" labelOnly="1" grandRow="1" outline="0" axis="axisRow" fieldPosition="0">
        <references count="1">
          <reference field="4294967294" count="1" selected="0">
            <x v="5"/>
          </reference>
        </references>
      </pivotArea>
    </format>
    <format dxfId="1316">
      <pivotArea field="0" dataOnly="0" labelOnly="1" grandRow="1" outline="0" axis="axisRow" fieldPosition="0">
        <references count="1">
          <reference field="4294967294" count="1" selected="0">
            <x v="6"/>
          </reference>
        </references>
      </pivotArea>
    </format>
    <format dxfId="1315">
      <pivotArea field="0" dataOnly="0" labelOnly="1" grandRow="1" outline="0" axis="axisRow" fieldPosition="0">
        <references count="1">
          <reference field="4294967294" count="1" selected="0">
            <x v="7"/>
          </reference>
        </references>
      </pivotArea>
    </format>
    <format dxfId="1314">
      <pivotArea field="0" dataOnly="0" labelOnly="1" grandRow="1" outline="0" axis="axisRow" fieldPosition="0">
        <references count="1">
          <reference field="4294967294" count="1" selected="0">
            <x v="8"/>
          </reference>
        </references>
      </pivotArea>
    </format>
    <format dxfId="1313">
      <pivotArea field="0" dataOnly="0" labelOnly="1" grandRow="1" outline="0" axis="axisRow" fieldPosition="0">
        <references count="1">
          <reference field="4294967294" count="1" selected="0">
            <x v="9"/>
          </reference>
        </references>
      </pivotArea>
    </format>
    <format dxfId="1312">
      <pivotArea field="0" dataOnly="0" labelOnly="1" grandRow="1" outline="0" axis="axisRow" fieldPosition="0">
        <references count="1">
          <reference field="4294967294" count="1" selected="0">
            <x v="10"/>
          </reference>
        </references>
      </pivotArea>
    </format>
    <format dxfId="1311">
      <pivotArea field="0" dataOnly="0" labelOnly="1" grandRow="1" outline="0" axis="axisRow" fieldPosition="0">
        <references count="1">
          <reference field="4294967294" count="1" selected="0">
            <x v="11"/>
          </reference>
        </references>
      </pivotArea>
    </format>
    <format dxfId="1310">
      <pivotArea field="0" dataOnly="0" labelOnly="1" grandRow="1" outline="0" axis="axisRow" fieldPosition="0">
        <references count="1">
          <reference field="4294967294" count="1" selected="0">
            <x v="12"/>
          </reference>
        </references>
      </pivotArea>
    </format>
    <format dxfId="1309">
      <pivotArea field="0" dataOnly="0" labelOnly="1" grandRow="1" outline="0" axis="axisRow" fieldPosition="0">
        <references count="1">
          <reference field="4294967294" count="1" selected="0">
            <x v="13"/>
          </reference>
        </references>
      </pivotArea>
    </format>
    <format dxfId="1308">
      <pivotArea field="0" dataOnly="0" labelOnly="1" grandRow="1" outline="0" axis="axisRow" fieldPosition="0">
        <references count="1">
          <reference field="4294967294" count="1" selected="0">
            <x v="14"/>
          </reference>
        </references>
      </pivotArea>
    </format>
    <format dxfId="1307">
      <pivotArea field="0" dataOnly="0" labelOnly="1" grandRow="1" outline="0" axis="axisRow" fieldPosition="0">
        <references count="1">
          <reference field="4294967294" count="1" selected="0">
            <x v="15"/>
          </reference>
        </references>
      </pivotArea>
    </format>
    <format dxfId="1306">
      <pivotArea field="0" dataOnly="0" labelOnly="1" grandRow="1" outline="0" axis="axisRow" fieldPosition="0">
        <references count="1">
          <reference field="4294967294" count="1" selected="0">
            <x v="16"/>
          </reference>
        </references>
      </pivotArea>
    </format>
    <format dxfId="1305">
      <pivotArea field="0" dataOnly="0" labelOnly="1" grandRow="1" outline="0" axis="axisRow" fieldPosition="0">
        <references count="1">
          <reference field="4294967294" count="1" selected="0">
            <x v="17"/>
          </reference>
        </references>
      </pivotArea>
    </format>
    <format dxfId="1304">
      <pivotArea field="0" dataOnly="0" labelOnly="1" grandRow="1" outline="0" axis="axisRow" fieldPosition="0">
        <references count="1">
          <reference field="4294967294" count="1" selected="0">
            <x v="18"/>
          </reference>
        </references>
      </pivotArea>
    </format>
    <format dxfId="1303">
      <pivotArea field="0" dataOnly="0" labelOnly="1" grandRow="1" outline="0" axis="axisRow" fieldPosition="0">
        <references count="1">
          <reference field="4294967294" count="1" selected="0">
            <x v="19"/>
          </reference>
        </references>
      </pivotArea>
    </format>
    <format dxfId="1302">
      <pivotArea field="0" dataOnly="0" labelOnly="1" grandRow="1" outline="0" axis="axisRow" fieldPosition="0">
        <references count="1">
          <reference field="4294967294" count="1" selected="0">
            <x v="20"/>
          </reference>
        </references>
      </pivotArea>
    </format>
    <format dxfId="1301">
      <pivotArea field="0" dataOnly="0" labelOnly="1" grandRow="1" outline="0" axis="axisRow" fieldPosition="0">
        <references count="1">
          <reference field="4294967294" count="1" selected="0">
            <x v="21"/>
          </reference>
        </references>
      </pivotArea>
    </format>
    <format dxfId="1300">
      <pivotArea field="0" dataOnly="0" labelOnly="1" grandRow="1" outline="0" axis="axisRow" fieldPosition="0">
        <references count="1">
          <reference field="4294967294" count="1" selected="0">
            <x v="22"/>
          </reference>
        </references>
      </pivotArea>
    </format>
    <format dxfId="1299">
      <pivotArea field="0" dataOnly="0" labelOnly="1" grandRow="1" outline="0" axis="axisRow" fieldPosition="0">
        <references count="1">
          <reference field="4294967294" count="1" selected="0">
            <x v="23"/>
          </reference>
        </references>
      </pivotArea>
    </format>
    <format dxfId="1298">
      <pivotArea field="0" dataOnly="0" labelOnly="1" grandRow="1" outline="0" axis="axisRow" fieldPosition="0">
        <references count="1">
          <reference field="4294967294" count="1" selected="0">
            <x v="24"/>
          </reference>
        </references>
      </pivotArea>
    </format>
    <format dxfId="1297">
      <pivotArea field="0" dataOnly="0" labelOnly="1" grandRow="1" outline="0" axis="axisRow" fieldPosition="0">
        <references count="1">
          <reference field="4294967294" count="1" selected="0">
            <x v="25"/>
          </reference>
        </references>
      </pivotArea>
    </format>
    <format dxfId="1296">
      <pivotArea field="0" dataOnly="0" labelOnly="1" grandRow="1" outline="0" axis="axisRow" fieldPosition="0">
        <references count="1">
          <reference field="4294967294" count="1" selected="0">
            <x v="26"/>
          </reference>
        </references>
      </pivotArea>
    </format>
    <format dxfId="1295">
      <pivotArea field="0" dataOnly="0" labelOnly="1" grandRow="1" outline="0" axis="axisRow" fieldPosition="0">
        <references count="1">
          <reference field="4294967294" count="1" selected="0">
            <x v="27"/>
          </reference>
        </references>
      </pivotArea>
    </format>
    <format dxfId="1294">
      <pivotArea field="0" dataOnly="0" labelOnly="1" grandRow="1" outline="0" axis="axisRow" fieldPosition="0">
        <references count="1">
          <reference field="4294967294" count="1" selected="0">
            <x v="28"/>
          </reference>
        </references>
      </pivotArea>
    </format>
    <format dxfId="1293">
      <pivotArea field="0" dataOnly="0" labelOnly="1" grandRow="1" outline="0" axis="axisRow" fieldPosition="0">
        <references count="1">
          <reference field="4294967294" count="1" selected="0">
            <x v="29"/>
          </reference>
        </references>
      </pivotArea>
    </format>
    <format dxfId="1292">
      <pivotArea field="0" dataOnly="0" labelOnly="1" grandRow="1" outline="0" axis="axisRow" fieldPosition="0">
        <references count="1">
          <reference field="4294967294" count="1" selected="0">
            <x v="30"/>
          </reference>
        </references>
      </pivotArea>
    </format>
    <format dxfId="1291">
      <pivotArea field="0" dataOnly="0" labelOnly="1" grandRow="1" outline="0" axis="axisRow" fieldPosition="0">
        <references count="1">
          <reference field="4294967294" count="1" selected="0">
            <x v="31"/>
          </reference>
        </references>
      </pivotArea>
    </format>
    <format dxfId="1290">
      <pivotArea field="0" dataOnly="0" labelOnly="1" grandRow="1" outline="0" axis="axisRow" fieldPosition="0">
        <references count="1">
          <reference field="4294967294" count="1" selected="0">
            <x v="32"/>
          </reference>
        </references>
      </pivotArea>
    </format>
    <format dxfId="1289">
      <pivotArea field="0" dataOnly="0" labelOnly="1" grandRow="1" outline="0" axis="axisRow" fieldPosition="0">
        <references count="1">
          <reference field="4294967294" count="1" selected="0">
            <x v="33"/>
          </reference>
        </references>
      </pivotArea>
    </format>
    <format dxfId="1288">
      <pivotArea field="0" dataOnly="0" labelOnly="1" grandRow="1" outline="0" axis="axisRow" fieldPosition="0">
        <references count="1">
          <reference field="4294967294" count="1" selected="0">
            <x v="34"/>
          </reference>
        </references>
      </pivotArea>
    </format>
    <format dxfId="1287">
      <pivotArea field="0" dataOnly="0" labelOnly="1" grandRow="1" outline="0" axis="axisRow" fieldPosition="0">
        <references count="1">
          <reference field="4294967294" count="1" selected="0">
            <x v="35"/>
          </reference>
        </references>
      </pivotArea>
    </format>
    <format dxfId="1286">
      <pivotArea field="0" dataOnly="0" labelOnly="1" grandRow="1" outline="0" axis="axisRow" fieldPosition="0">
        <references count="1">
          <reference field="4294967294" count="1" selected="0">
            <x v="0"/>
          </reference>
        </references>
      </pivotArea>
    </format>
    <format dxfId="1285">
      <pivotArea field="0" dataOnly="0" labelOnly="1" grandRow="1" outline="0" axis="axisRow" fieldPosition="0">
        <references count="1">
          <reference field="4294967294" count="1" selected="0">
            <x v="1"/>
          </reference>
        </references>
      </pivotArea>
    </format>
    <format dxfId="1284">
      <pivotArea field="0" dataOnly="0" labelOnly="1" grandRow="1" outline="0" axis="axisRow" fieldPosition="0">
        <references count="1">
          <reference field="4294967294" count="1" selected="0">
            <x v="2"/>
          </reference>
        </references>
      </pivotArea>
    </format>
    <format dxfId="1283">
      <pivotArea field="0" dataOnly="0" labelOnly="1" grandRow="1" outline="0" axis="axisRow" fieldPosition="0">
        <references count="1">
          <reference field="4294967294" count="1" selected="0">
            <x v="3"/>
          </reference>
        </references>
      </pivotArea>
    </format>
    <format dxfId="1282">
      <pivotArea field="0" dataOnly="0" labelOnly="1" grandRow="1" outline="0" axis="axisRow" fieldPosition="0">
        <references count="1">
          <reference field="4294967294" count="1" selected="0">
            <x v="4"/>
          </reference>
        </references>
      </pivotArea>
    </format>
    <format dxfId="1281">
      <pivotArea field="0" dataOnly="0" labelOnly="1" grandRow="1" outline="0" axis="axisRow" fieldPosition="0">
        <references count="1">
          <reference field="4294967294" count="1" selected="0">
            <x v="5"/>
          </reference>
        </references>
      </pivotArea>
    </format>
    <format dxfId="1280">
      <pivotArea field="0" dataOnly="0" labelOnly="1" grandRow="1" outline="0" axis="axisRow" fieldPosition="0">
        <references count="1">
          <reference field="4294967294" count="1" selected="0">
            <x v="6"/>
          </reference>
        </references>
      </pivotArea>
    </format>
    <format dxfId="1279">
      <pivotArea field="0" dataOnly="0" labelOnly="1" grandRow="1" outline="0" axis="axisRow" fieldPosition="0">
        <references count="1">
          <reference field="4294967294" count="1" selected="0">
            <x v="7"/>
          </reference>
        </references>
      </pivotArea>
    </format>
    <format dxfId="1278">
      <pivotArea field="0" dataOnly="0" labelOnly="1" grandRow="1" outline="0" axis="axisRow" fieldPosition="0">
        <references count="1">
          <reference field="4294967294" count="1" selected="0">
            <x v="8"/>
          </reference>
        </references>
      </pivotArea>
    </format>
    <format dxfId="1277">
      <pivotArea field="0" dataOnly="0" labelOnly="1" grandRow="1" outline="0" axis="axisRow" fieldPosition="0">
        <references count="1">
          <reference field="4294967294" count="1" selected="0">
            <x v="9"/>
          </reference>
        </references>
      </pivotArea>
    </format>
    <format dxfId="1276">
      <pivotArea field="0" dataOnly="0" labelOnly="1" grandRow="1" outline="0" axis="axisRow" fieldPosition="0">
        <references count="1">
          <reference field="4294967294" count="1" selected="0">
            <x v="10"/>
          </reference>
        </references>
      </pivotArea>
    </format>
    <format dxfId="1275">
      <pivotArea field="0" dataOnly="0" labelOnly="1" grandRow="1" outline="0" axis="axisRow" fieldPosition="0">
        <references count="1">
          <reference field="4294967294" count="1" selected="0">
            <x v="11"/>
          </reference>
        </references>
      </pivotArea>
    </format>
    <format dxfId="1274">
      <pivotArea field="0" dataOnly="0" labelOnly="1" grandRow="1" outline="0" axis="axisRow" fieldPosition="0">
        <references count="1">
          <reference field="4294967294" count="1" selected="0">
            <x v="12"/>
          </reference>
        </references>
      </pivotArea>
    </format>
    <format dxfId="1273">
      <pivotArea field="0" dataOnly="0" labelOnly="1" grandRow="1" outline="0" axis="axisRow" fieldPosition="0">
        <references count="1">
          <reference field="4294967294" count="1" selected="0">
            <x v="13"/>
          </reference>
        </references>
      </pivotArea>
    </format>
    <format dxfId="1272">
      <pivotArea field="0" dataOnly="0" labelOnly="1" grandRow="1" outline="0" axis="axisRow" fieldPosition="0">
        <references count="1">
          <reference field="4294967294" count="1" selected="0">
            <x v="14"/>
          </reference>
        </references>
      </pivotArea>
    </format>
    <format dxfId="1271">
      <pivotArea field="0" dataOnly="0" labelOnly="1" grandRow="1" outline="0" axis="axisRow" fieldPosition="0">
        <references count="1">
          <reference field="4294967294" count="1" selected="0">
            <x v="15"/>
          </reference>
        </references>
      </pivotArea>
    </format>
    <format dxfId="1270">
      <pivotArea field="0" dataOnly="0" labelOnly="1" grandRow="1" outline="0" axis="axisRow" fieldPosition="0">
        <references count="1">
          <reference field="4294967294" count="1" selected="0">
            <x v="16"/>
          </reference>
        </references>
      </pivotArea>
    </format>
    <format dxfId="1269">
      <pivotArea field="0" dataOnly="0" labelOnly="1" grandRow="1" outline="0" axis="axisRow" fieldPosition="0">
        <references count="1">
          <reference field="4294967294" count="1" selected="0">
            <x v="17"/>
          </reference>
        </references>
      </pivotArea>
    </format>
    <format dxfId="1268">
      <pivotArea field="0" dataOnly="0" labelOnly="1" grandRow="1" outline="0" axis="axisRow" fieldPosition="0">
        <references count="1">
          <reference field="4294967294" count="1" selected="0">
            <x v="18"/>
          </reference>
        </references>
      </pivotArea>
    </format>
    <format dxfId="1267">
      <pivotArea field="0" dataOnly="0" labelOnly="1" grandRow="1" outline="0" axis="axisRow" fieldPosition="0">
        <references count="1">
          <reference field="4294967294" count="1" selected="0">
            <x v="19"/>
          </reference>
        </references>
      </pivotArea>
    </format>
    <format dxfId="1266">
      <pivotArea field="0" dataOnly="0" labelOnly="1" grandRow="1" outline="0" axis="axisRow" fieldPosition="0">
        <references count="1">
          <reference field="4294967294" count="1" selected="0">
            <x v="20"/>
          </reference>
        </references>
      </pivotArea>
    </format>
    <format dxfId="1265">
      <pivotArea field="0" dataOnly="0" labelOnly="1" grandRow="1" outline="0" axis="axisRow" fieldPosition="0">
        <references count="1">
          <reference field="4294967294" count="1" selected="0">
            <x v="21"/>
          </reference>
        </references>
      </pivotArea>
    </format>
    <format dxfId="1264">
      <pivotArea field="0" dataOnly="0" labelOnly="1" grandRow="1" outline="0" axis="axisRow" fieldPosition="0">
        <references count="1">
          <reference field="4294967294" count="1" selected="0">
            <x v="22"/>
          </reference>
        </references>
      </pivotArea>
    </format>
    <format dxfId="1263">
      <pivotArea field="0" dataOnly="0" labelOnly="1" grandRow="1" outline="0" axis="axisRow" fieldPosition="0">
        <references count="1">
          <reference field="4294967294" count="1" selected="0">
            <x v="23"/>
          </reference>
        </references>
      </pivotArea>
    </format>
    <format dxfId="1262">
      <pivotArea field="0" dataOnly="0" labelOnly="1" grandRow="1" outline="0" axis="axisRow" fieldPosition="0">
        <references count="1">
          <reference field="4294967294" count="1" selected="0">
            <x v="24"/>
          </reference>
        </references>
      </pivotArea>
    </format>
    <format dxfId="1261">
      <pivotArea field="0" dataOnly="0" labelOnly="1" grandRow="1" outline="0" axis="axisRow" fieldPosition="0">
        <references count="1">
          <reference field="4294967294" count="1" selected="0">
            <x v="25"/>
          </reference>
        </references>
      </pivotArea>
    </format>
    <format dxfId="1260">
      <pivotArea field="0" dataOnly="0" labelOnly="1" grandRow="1" outline="0" axis="axisRow" fieldPosition="0">
        <references count="1">
          <reference field="4294967294" count="1" selected="0">
            <x v="26"/>
          </reference>
        </references>
      </pivotArea>
    </format>
    <format dxfId="1259">
      <pivotArea field="0" dataOnly="0" labelOnly="1" grandRow="1" outline="0" axis="axisRow" fieldPosition="0">
        <references count="1">
          <reference field="4294967294" count="1" selected="0">
            <x v="27"/>
          </reference>
        </references>
      </pivotArea>
    </format>
    <format dxfId="1258">
      <pivotArea field="0" dataOnly="0" labelOnly="1" grandRow="1" outline="0" axis="axisRow" fieldPosition="0">
        <references count="1">
          <reference field="4294967294" count="1" selected="0">
            <x v="28"/>
          </reference>
        </references>
      </pivotArea>
    </format>
    <format dxfId="1257">
      <pivotArea field="0" dataOnly="0" labelOnly="1" grandRow="1" outline="0" axis="axisRow" fieldPosition="0">
        <references count="1">
          <reference field="4294967294" count="1" selected="0">
            <x v="29"/>
          </reference>
        </references>
      </pivotArea>
    </format>
    <format dxfId="1256">
      <pivotArea field="0" dataOnly="0" labelOnly="1" grandRow="1" outline="0" axis="axisRow" fieldPosition="0">
        <references count="1">
          <reference field="4294967294" count="1" selected="0">
            <x v="30"/>
          </reference>
        </references>
      </pivotArea>
    </format>
    <format dxfId="1255">
      <pivotArea field="0" dataOnly="0" labelOnly="1" grandRow="1" outline="0" axis="axisRow" fieldPosition="0">
        <references count="1">
          <reference field="4294967294" count="1" selected="0">
            <x v="31"/>
          </reference>
        </references>
      </pivotArea>
    </format>
    <format dxfId="1254">
      <pivotArea field="0" dataOnly="0" labelOnly="1" grandRow="1" outline="0" axis="axisRow" fieldPosition="0">
        <references count="1">
          <reference field="4294967294" count="1" selected="0">
            <x v="32"/>
          </reference>
        </references>
      </pivotArea>
    </format>
    <format dxfId="1253">
      <pivotArea field="0" dataOnly="0" labelOnly="1" grandRow="1" outline="0" axis="axisRow" fieldPosition="0">
        <references count="1">
          <reference field="4294967294" count="1" selected="0">
            <x v="33"/>
          </reference>
        </references>
      </pivotArea>
    </format>
    <format dxfId="1252">
      <pivotArea field="0" dataOnly="0" labelOnly="1" grandRow="1" outline="0" axis="axisRow" fieldPosition="0">
        <references count="1">
          <reference field="4294967294" count="1" selected="0">
            <x v="34"/>
          </reference>
        </references>
      </pivotArea>
    </format>
    <format dxfId="1251">
      <pivotArea field="0" dataOnly="0" labelOnly="1" grandRow="1" outline="0" axis="axisRow" fieldPosition="0">
        <references count="1">
          <reference field="4294967294" count="1" selected="0">
            <x v="35"/>
          </reference>
        </references>
      </pivotArea>
    </format>
    <format dxfId="1250">
      <pivotArea field="0" dataOnly="0" labelOnly="1" grandRow="1" outline="0" axis="axisRow" fieldPosition="0">
        <references count="1">
          <reference field="4294967294" count="1" selected="0">
            <x v="0"/>
          </reference>
        </references>
      </pivotArea>
    </format>
    <format dxfId="1249">
      <pivotArea field="0" dataOnly="0" labelOnly="1" grandRow="1" outline="0" axis="axisRow" fieldPosition="0">
        <references count="1">
          <reference field="4294967294" count="1" selected="0">
            <x v="1"/>
          </reference>
        </references>
      </pivotArea>
    </format>
    <format dxfId="1248">
      <pivotArea field="0" dataOnly="0" labelOnly="1" grandRow="1" outline="0" axis="axisRow" fieldPosition="0">
        <references count="1">
          <reference field="4294967294" count="1" selected="0">
            <x v="2"/>
          </reference>
        </references>
      </pivotArea>
    </format>
    <format dxfId="1247">
      <pivotArea field="0" dataOnly="0" labelOnly="1" grandRow="1" outline="0" axis="axisRow" fieldPosition="0">
        <references count="1">
          <reference field="4294967294" count="1" selected="0">
            <x v="3"/>
          </reference>
        </references>
      </pivotArea>
    </format>
    <format dxfId="1246">
      <pivotArea field="0" dataOnly="0" labelOnly="1" grandRow="1" outline="0" axis="axisRow" fieldPosition="0">
        <references count="1">
          <reference field="4294967294" count="1" selected="0">
            <x v="4"/>
          </reference>
        </references>
      </pivotArea>
    </format>
    <format dxfId="1245">
      <pivotArea field="0" dataOnly="0" labelOnly="1" grandRow="1" outline="0" axis="axisRow" fieldPosition="0">
        <references count="1">
          <reference field="4294967294" count="1" selected="0">
            <x v="5"/>
          </reference>
        </references>
      </pivotArea>
    </format>
    <format dxfId="1244">
      <pivotArea field="0" dataOnly="0" labelOnly="1" grandRow="1" outline="0" axis="axisRow" fieldPosition="0">
        <references count="1">
          <reference field="4294967294" count="1" selected="0">
            <x v="6"/>
          </reference>
        </references>
      </pivotArea>
    </format>
    <format dxfId="1243">
      <pivotArea field="0" dataOnly="0" labelOnly="1" grandRow="1" outline="0" axis="axisRow" fieldPosition="0">
        <references count="1">
          <reference field="4294967294" count="1" selected="0">
            <x v="7"/>
          </reference>
        </references>
      </pivotArea>
    </format>
    <format dxfId="1242">
      <pivotArea field="0" dataOnly="0" labelOnly="1" grandRow="1" outline="0" axis="axisRow" fieldPosition="0">
        <references count="1">
          <reference field="4294967294" count="1" selected="0">
            <x v="8"/>
          </reference>
        </references>
      </pivotArea>
    </format>
    <format dxfId="1241">
      <pivotArea field="0" dataOnly="0" labelOnly="1" grandRow="1" outline="0" axis="axisRow" fieldPosition="0">
        <references count="1">
          <reference field="4294967294" count="1" selected="0">
            <x v="9"/>
          </reference>
        </references>
      </pivotArea>
    </format>
    <format dxfId="1240">
      <pivotArea field="0" dataOnly="0" labelOnly="1" grandRow="1" outline="0" axis="axisRow" fieldPosition="0">
        <references count="1">
          <reference field="4294967294" count="1" selected="0">
            <x v="10"/>
          </reference>
        </references>
      </pivotArea>
    </format>
    <format dxfId="1239">
      <pivotArea field="0" dataOnly="0" labelOnly="1" grandRow="1" outline="0" axis="axisRow" fieldPosition="0">
        <references count="1">
          <reference field="4294967294" count="1" selected="0">
            <x v="11"/>
          </reference>
        </references>
      </pivotArea>
    </format>
    <format dxfId="1238">
      <pivotArea field="0" dataOnly="0" labelOnly="1" grandRow="1" outline="0" axis="axisRow" fieldPosition="0">
        <references count="1">
          <reference field="4294967294" count="1" selected="0">
            <x v="12"/>
          </reference>
        </references>
      </pivotArea>
    </format>
    <format dxfId="1237">
      <pivotArea field="0" dataOnly="0" labelOnly="1" grandRow="1" outline="0" axis="axisRow" fieldPosition="0">
        <references count="1">
          <reference field="4294967294" count="1" selected="0">
            <x v="13"/>
          </reference>
        </references>
      </pivotArea>
    </format>
    <format dxfId="1236">
      <pivotArea field="0" dataOnly="0" labelOnly="1" grandRow="1" outline="0" axis="axisRow" fieldPosition="0">
        <references count="1">
          <reference field="4294967294" count="1" selected="0">
            <x v="14"/>
          </reference>
        </references>
      </pivotArea>
    </format>
    <format dxfId="1235">
      <pivotArea field="0" dataOnly="0" labelOnly="1" grandRow="1" outline="0" axis="axisRow" fieldPosition="0">
        <references count="1">
          <reference field="4294967294" count="1" selected="0">
            <x v="15"/>
          </reference>
        </references>
      </pivotArea>
    </format>
    <format dxfId="1234">
      <pivotArea field="0" dataOnly="0" labelOnly="1" grandRow="1" outline="0" axis="axisRow" fieldPosition="0">
        <references count="1">
          <reference field="4294967294" count="1" selected="0">
            <x v="16"/>
          </reference>
        </references>
      </pivotArea>
    </format>
    <format dxfId="1233">
      <pivotArea field="0" dataOnly="0" labelOnly="1" grandRow="1" outline="0" axis="axisRow" fieldPosition="0">
        <references count="1">
          <reference field="4294967294" count="1" selected="0">
            <x v="17"/>
          </reference>
        </references>
      </pivotArea>
    </format>
    <format dxfId="1232">
      <pivotArea field="0" dataOnly="0" labelOnly="1" grandRow="1" outline="0" axis="axisRow" fieldPosition="0">
        <references count="1">
          <reference field="4294967294" count="1" selected="0">
            <x v="18"/>
          </reference>
        </references>
      </pivotArea>
    </format>
    <format dxfId="1231">
      <pivotArea field="0" dataOnly="0" labelOnly="1" grandRow="1" outline="0" axis="axisRow" fieldPosition="0">
        <references count="1">
          <reference field="4294967294" count="1" selected="0">
            <x v="19"/>
          </reference>
        </references>
      </pivotArea>
    </format>
    <format dxfId="1230">
      <pivotArea field="0" dataOnly="0" labelOnly="1" grandRow="1" outline="0" axis="axisRow" fieldPosition="0">
        <references count="1">
          <reference field="4294967294" count="1" selected="0">
            <x v="20"/>
          </reference>
        </references>
      </pivotArea>
    </format>
    <format dxfId="1229">
      <pivotArea field="0" dataOnly="0" labelOnly="1" grandRow="1" outline="0" axis="axisRow" fieldPosition="0">
        <references count="1">
          <reference field="4294967294" count="1" selected="0">
            <x v="21"/>
          </reference>
        </references>
      </pivotArea>
    </format>
    <format dxfId="1228">
      <pivotArea field="0" dataOnly="0" labelOnly="1" grandRow="1" outline="0" axis="axisRow" fieldPosition="0">
        <references count="1">
          <reference field="4294967294" count="1" selected="0">
            <x v="22"/>
          </reference>
        </references>
      </pivotArea>
    </format>
    <format dxfId="1227">
      <pivotArea field="0" dataOnly="0" labelOnly="1" grandRow="1" outline="0" axis="axisRow" fieldPosition="0">
        <references count="1">
          <reference field="4294967294" count="1" selected="0">
            <x v="23"/>
          </reference>
        </references>
      </pivotArea>
    </format>
    <format dxfId="1226">
      <pivotArea field="0" dataOnly="0" labelOnly="1" grandRow="1" outline="0" axis="axisRow" fieldPosition="0">
        <references count="1">
          <reference field="4294967294" count="1" selected="0">
            <x v="24"/>
          </reference>
        </references>
      </pivotArea>
    </format>
    <format dxfId="1225">
      <pivotArea field="0" dataOnly="0" labelOnly="1" grandRow="1" outline="0" axis="axisRow" fieldPosition="0">
        <references count="1">
          <reference field="4294967294" count="1" selected="0">
            <x v="25"/>
          </reference>
        </references>
      </pivotArea>
    </format>
    <format dxfId="1224">
      <pivotArea field="0" dataOnly="0" labelOnly="1" grandRow="1" outline="0" axis="axisRow" fieldPosition="0">
        <references count="1">
          <reference field="4294967294" count="1" selected="0">
            <x v="26"/>
          </reference>
        </references>
      </pivotArea>
    </format>
    <format dxfId="1223">
      <pivotArea field="0" dataOnly="0" labelOnly="1" grandRow="1" outline="0" axis="axisRow" fieldPosition="0">
        <references count="1">
          <reference field="4294967294" count="1" selected="0">
            <x v="27"/>
          </reference>
        </references>
      </pivotArea>
    </format>
    <format dxfId="1222">
      <pivotArea field="0" dataOnly="0" labelOnly="1" grandRow="1" outline="0" axis="axisRow" fieldPosition="0">
        <references count="1">
          <reference field="4294967294" count="1" selected="0">
            <x v="28"/>
          </reference>
        </references>
      </pivotArea>
    </format>
    <format dxfId="1221">
      <pivotArea field="0" dataOnly="0" labelOnly="1" grandRow="1" outline="0" axis="axisRow" fieldPosition="0">
        <references count="1">
          <reference field="4294967294" count="1" selected="0">
            <x v="29"/>
          </reference>
        </references>
      </pivotArea>
    </format>
    <format dxfId="1220">
      <pivotArea field="0" dataOnly="0" labelOnly="1" grandRow="1" outline="0" axis="axisRow" fieldPosition="0">
        <references count="1">
          <reference field="4294967294" count="1" selected="0">
            <x v="30"/>
          </reference>
        </references>
      </pivotArea>
    </format>
    <format dxfId="1219">
      <pivotArea field="0" dataOnly="0" labelOnly="1" grandRow="1" outline="0" axis="axisRow" fieldPosition="0">
        <references count="1">
          <reference field="4294967294" count="1" selected="0">
            <x v="31"/>
          </reference>
        </references>
      </pivotArea>
    </format>
    <format dxfId="1218">
      <pivotArea field="0" dataOnly="0" labelOnly="1" grandRow="1" outline="0" axis="axisRow" fieldPosition="0">
        <references count="1">
          <reference field="4294967294" count="1" selected="0">
            <x v="32"/>
          </reference>
        </references>
      </pivotArea>
    </format>
    <format dxfId="1217">
      <pivotArea field="0" dataOnly="0" labelOnly="1" grandRow="1" outline="0" axis="axisRow" fieldPosition="0">
        <references count="1">
          <reference field="4294967294" count="1" selected="0">
            <x v="33"/>
          </reference>
        </references>
      </pivotArea>
    </format>
    <format dxfId="1216">
      <pivotArea field="0" dataOnly="0" labelOnly="1" grandRow="1" outline="0" axis="axisRow" fieldPosition="0">
        <references count="1">
          <reference field="4294967294" count="1" selected="0">
            <x v="34"/>
          </reference>
        </references>
      </pivotArea>
    </format>
    <format dxfId="1215">
      <pivotArea field="0" dataOnly="0" labelOnly="1" grandRow="1" outline="0" axis="axisRow" fieldPosition="0">
        <references count="1">
          <reference field="4294967294" count="1" selected="0">
            <x v="35"/>
          </reference>
        </references>
      </pivotArea>
    </format>
    <format dxfId="1214">
      <pivotArea field="0" dataOnly="0" labelOnly="1" grandRow="1" outline="0" axis="axisRow" fieldPosition="0">
        <references count="1">
          <reference field="4294967294" count="1" selected="0">
            <x v="0"/>
          </reference>
        </references>
      </pivotArea>
    </format>
    <format dxfId="1213">
      <pivotArea field="0" dataOnly="0" labelOnly="1" grandRow="1" outline="0" axis="axisRow" fieldPosition="0">
        <references count="1">
          <reference field="4294967294" count="1" selected="0">
            <x v="1"/>
          </reference>
        </references>
      </pivotArea>
    </format>
    <format dxfId="1212">
      <pivotArea field="0" dataOnly="0" labelOnly="1" grandRow="1" outline="0" axis="axisRow" fieldPosition="0">
        <references count="1">
          <reference field="4294967294" count="1" selected="0">
            <x v="2"/>
          </reference>
        </references>
      </pivotArea>
    </format>
    <format dxfId="1211">
      <pivotArea field="0" dataOnly="0" labelOnly="1" grandRow="1" outline="0" axis="axisRow" fieldPosition="0">
        <references count="1">
          <reference field="4294967294" count="1" selected="0">
            <x v="3"/>
          </reference>
        </references>
      </pivotArea>
    </format>
    <format dxfId="1210">
      <pivotArea field="0" dataOnly="0" labelOnly="1" grandRow="1" outline="0" axis="axisRow" fieldPosition="0">
        <references count="1">
          <reference field="4294967294" count="1" selected="0">
            <x v="4"/>
          </reference>
        </references>
      </pivotArea>
    </format>
    <format dxfId="1209">
      <pivotArea field="0" dataOnly="0" labelOnly="1" grandRow="1" outline="0" axis="axisRow" fieldPosition="0">
        <references count="1">
          <reference field="4294967294" count="1" selected="0">
            <x v="5"/>
          </reference>
        </references>
      </pivotArea>
    </format>
    <format dxfId="1208">
      <pivotArea field="0" dataOnly="0" labelOnly="1" grandRow="1" outline="0" axis="axisRow" fieldPosition="0">
        <references count="1">
          <reference field="4294967294" count="1" selected="0">
            <x v="6"/>
          </reference>
        </references>
      </pivotArea>
    </format>
    <format dxfId="1207">
      <pivotArea field="0" dataOnly="0" labelOnly="1" grandRow="1" outline="0" axis="axisRow" fieldPosition="0">
        <references count="1">
          <reference field="4294967294" count="1" selected="0">
            <x v="7"/>
          </reference>
        </references>
      </pivotArea>
    </format>
    <format dxfId="1206">
      <pivotArea field="0" dataOnly="0" labelOnly="1" grandRow="1" outline="0" axis="axisRow" fieldPosition="0">
        <references count="1">
          <reference field="4294967294" count="1" selected="0">
            <x v="8"/>
          </reference>
        </references>
      </pivotArea>
    </format>
    <format dxfId="1205">
      <pivotArea field="0" dataOnly="0" labelOnly="1" grandRow="1" outline="0" axis="axisRow" fieldPosition="0">
        <references count="1">
          <reference field="4294967294" count="1" selected="0">
            <x v="9"/>
          </reference>
        </references>
      </pivotArea>
    </format>
    <format dxfId="1204">
      <pivotArea field="0" dataOnly="0" labelOnly="1" grandRow="1" outline="0" axis="axisRow" fieldPosition="0">
        <references count="1">
          <reference field="4294967294" count="1" selected="0">
            <x v="10"/>
          </reference>
        </references>
      </pivotArea>
    </format>
    <format dxfId="1203">
      <pivotArea field="0" dataOnly="0" labelOnly="1" grandRow="1" outline="0" axis="axisRow" fieldPosition="0">
        <references count="1">
          <reference field="4294967294" count="1" selected="0">
            <x v="11"/>
          </reference>
        </references>
      </pivotArea>
    </format>
    <format dxfId="1202">
      <pivotArea field="0" dataOnly="0" labelOnly="1" grandRow="1" outline="0" axis="axisRow" fieldPosition="0">
        <references count="1">
          <reference field="4294967294" count="1" selected="0">
            <x v="12"/>
          </reference>
        </references>
      </pivotArea>
    </format>
    <format dxfId="1201">
      <pivotArea field="0" dataOnly="0" labelOnly="1" grandRow="1" outline="0" axis="axisRow" fieldPosition="0">
        <references count="1">
          <reference field="4294967294" count="1" selected="0">
            <x v="13"/>
          </reference>
        </references>
      </pivotArea>
    </format>
    <format dxfId="1200">
      <pivotArea field="0" dataOnly="0" labelOnly="1" grandRow="1" outline="0" axis="axisRow" fieldPosition="0">
        <references count="1">
          <reference field="4294967294" count="1" selected="0">
            <x v="14"/>
          </reference>
        </references>
      </pivotArea>
    </format>
    <format dxfId="1199">
      <pivotArea field="0" dataOnly="0" labelOnly="1" grandRow="1" outline="0" axis="axisRow" fieldPosition="0">
        <references count="1">
          <reference field="4294967294" count="1" selected="0">
            <x v="15"/>
          </reference>
        </references>
      </pivotArea>
    </format>
    <format dxfId="1198">
      <pivotArea field="0" dataOnly="0" labelOnly="1" grandRow="1" outline="0" axis="axisRow" fieldPosition="0">
        <references count="1">
          <reference field="4294967294" count="1" selected="0">
            <x v="16"/>
          </reference>
        </references>
      </pivotArea>
    </format>
    <format dxfId="1197">
      <pivotArea field="0" dataOnly="0" labelOnly="1" grandRow="1" outline="0" axis="axisRow" fieldPosition="0">
        <references count="1">
          <reference field="4294967294" count="1" selected="0">
            <x v="17"/>
          </reference>
        </references>
      </pivotArea>
    </format>
    <format dxfId="1196">
      <pivotArea field="0" dataOnly="0" labelOnly="1" grandRow="1" outline="0" axis="axisRow" fieldPosition="0">
        <references count="1">
          <reference field="4294967294" count="1" selected="0">
            <x v="18"/>
          </reference>
        </references>
      </pivotArea>
    </format>
    <format dxfId="1195">
      <pivotArea field="0" dataOnly="0" labelOnly="1" grandRow="1" outline="0" axis="axisRow" fieldPosition="0">
        <references count="1">
          <reference field="4294967294" count="1" selected="0">
            <x v="19"/>
          </reference>
        </references>
      </pivotArea>
    </format>
    <format dxfId="1194">
      <pivotArea field="0" dataOnly="0" labelOnly="1" grandRow="1" outline="0" axis="axisRow" fieldPosition="0">
        <references count="1">
          <reference field="4294967294" count="1" selected="0">
            <x v="20"/>
          </reference>
        </references>
      </pivotArea>
    </format>
    <format dxfId="1193">
      <pivotArea field="0" dataOnly="0" labelOnly="1" grandRow="1" outline="0" axis="axisRow" fieldPosition="0">
        <references count="1">
          <reference field="4294967294" count="1" selected="0">
            <x v="21"/>
          </reference>
        </references>
      </pivotArea>
    </format>
    <format dxfId="1192">
      <pivotArea field="0" dataOnly="0" labelOnly="1" grandRow="1" outline="0" axis="axisRow" fieldPosition="0">
        <references count="1">
          <reference field="4294967294" count="1" selected="0">
            <x v="22"/>
          </reference>
        </references>
      </pivotArea>
    </format>
    <format dxfId="1191">
      <pivotArea field="0" dataOnly="0" labelOnly="1" grandRow="1" outline="0" axis="axisRow" fieldPosition="0">
        <references count="1">
          <reference field="4294967294" count="1" selected="0">
            <x v="23"/>
          </reference>
        </references>
      </pivotArea>
    </format>
    <format dxfId="1190">
      <pivotArea field="0" dataOnly="0" labelOnly="1" grandRow="1" outline="0" axis="axisRow" fieldPosition="0">
        <references count="1">
          <reference field="4294967294" count="1" selected="0">
            <x v="24"/>
          </reference>
        </references>
      </pivotArea>
    </format>
    <format dxfId="1189">
      <pivotArea field="0" dataOnly="0" labelOnly="1" grandRow="1" outline="0" axis="axisRow" fieldPosition="0">
        <references count="1">
          <reference field="4294967294" count="1" selected="0">
            <x v="25"/>
          </reference>
        </references>
      </pivotArea>
    </format>
    <format dxfId="1188">
      <pivotArea field="0" dataOnly="0" labelOnly="1" grandRow="1" outline="0" axis="axisRow" fieldPosition="0">
        <references count="1">
          <reference field="4294967294" count="1" selected="0">
            <x v="26"/>
          </reference>
        </references>
      </pivotArea>
    </format>
    <format dxfId="1187">
      <pivotArea field="0" dataOnly="0" labelOnly="1" grandRow="1" outline="0" axis="axisRow" fieldPosition="0">
        <references count="1">
          <reference field="4294967294" count="1" selected="0">
            <x v="27"/>
          </reference>
        </references>
      </pivotArea>
    </format>
    <format dxfId="1186">
      <pivotArea field="0" dataOnly="0" labelOnly="1" grandRow="1" outline="0" axis="axisRow" fieldPosition="0">
        <references count="1">
          <reference field="4294967294" count="1" selected="0">
            <x v="28"/>
          </reference>
        </references>
      </pivotArea>
    </format>
    <format dxfId="1185">
      <pivotArea field="0" dataOnly="0" labelOnly="1" grandRow="1" outline="0" axis="axisRow" fieldPosition="0">
        <references count="1">
          <reference field="4294967294" count="1" selected="0">
            <x v="29"/>
          </reference>
        </references>
      </pivotArea>
    </format>
    <format dxfId="1184">
      <pivotArea field="0" dataOnly="0" labelOnly="1" grandRow="1" outline="0" axis="axisRow" fieldPosition="0">
        <references count="1">
          <reference field="4294967294" count="1" selected="0">
            <x v="30"/>
          </reference>
        </references>
      </pivotArea>
    </format>
    <format dxfId="1183">
      <pivotArea field="0" dataOnly="0" labelOnly="1" grandRow="1" outline="0" axis="axisRow" fieldPosition="0">
        <references count="1">
          <reference field="4294967294" count="1" selected="0">
            <x v="31"/>
          </reference>
        </references>
      </pivotArea>
    </format>
    <format dxfId="1182">
      <pivotArea field="0" dataOnly="0" labelOnly="1" grandRow="1" outline="0" axis="axisRow" fieldPosition="0">
        <references count="1">
          <reference field="4294967294" count="1" selected="0">
            <x v="32"/>
          </reference>
        </references>
      </pivotArea>
    </format>
    <format dxfId="1181">
      <pivotArea field="0" dataOnly="0" labelOnly="1" grandRow="1" outline="0" axis="axisRow" fieldPosition="0">
        <references count="1">
          <reference field="4294967294" count="1" selected="0">
            <x v="33"/>
          </reference>
        </references>
      </pivotArea>
    </format>
    <format dxfId="1180">
      <pivotArea field="0" dataOnly="0" labelOnly="1" grandRow="1" outline="0" axis="axisRow" fieldPosition="0">
        <references count="1">
          <reference field="4294967294" count="1" selected="0">
            <x v="34"/>
          </reference>
        </references>
      </pivotArea>
    </format>
    <format dxfId="1179">
      <pivotArea field="0" dataOnly="0" labelOnly="1" grandRow="1" outline="0" axis="axisRow" fieldPosition="0">
        <references count="1">
          <reference field="4294967294" count="1" selected="0">
            <x v="35"/>
          </reference>
        </references>
      </pivotArea>
    </format>
    <format dxfId="1178">
      <pivotArea field="0" dataOnly="0" labelOnly="1" grandRow="1" outline="0" axis="axisRow" fieldPosition="0">
        <references count="1">
          <reference field="4294967294" count="1" selected="0">
            <x v="0"/>
          </reference>
        </references>
      </pivotArea>
    </format>
    <format dxfId="1177">
      <pivotArea field="0" dataOnly="0" labelOnly="1" grandRow="1" outline="0" axis="axisRow" fieldPosition="0">
        <references count="1">
          <reference field="4294967294" count="1" selected="0">
            <x v="1"/>
          </reference>
        </references>
      </pivotArea>
    </format>
    <format dxfId="1176">
      <pivotArea field="0" dataOnly="0" labelOnly="1" grandRow="1" outline="0" axis="axisRow" fieldPosition="0">
        <references count="1">
          <reference field="4294967294" count="1" selected="0">
            <x v="2"/>
          </reference>
        </references>
      </pivotArea>
    </format>
    <format dxfId="1175">
      <pivotArea field="0" dataOnly="0" labelOnly="1" grandRow="1" outline="0" axis="axisRow" fieldPosition="0">
        <references count="1">
          <reference field="4294967294" count="1" selected="0">
            <x v="3"/>
          </reference>
        </references>
      </pivotArea>
    </format>
    <format dxfId="1174">
      <pivotArea field="0" dataOnly="0" labelOnly="1" grandRow="1" outline="0" axis="axisRow" fieldPosition="0">
        <references count="1">
          <reference field="4294967294" count="1" selected="0">
            <x v="4"/>
          </reference>
        </references>
      </pivotArea>
    </format>
    <format dxfId="1173">
      <pivotArea field="0" dataOnly="0" labelOnly="1" grandRow="1" outline="0" axis="axisRow" fieldPosition="0">
        <references count="1">
          <reference field="4294967294" count="1" selected="0">
            <x v="5"/>
          </reference>
        </references>
      </pivotArea>
    </format>
    <format dxfId="1172">
      <pivotArea field="0" dataOnly="0" labelOnly="1" grandRow="1" outline="0" axis="axisRow" fieldPosition="0">
        <references count="1">
          <reference field="4294967294" count="1" selected="0">
            <x v="6"/>
          </reference>
        </references>
      </pivotArea>
    </format>
    <format dxfId="1171">
      <pivotArea field="0" dataOnly="0" labelOnly="1" grandRow="1" outline="0" axis="axisRow" fieldPosition="0">
        <references count="1">
          <reference field="4294967294" count="1" selected="0">
            <x v="7"/>
          </reference>
        </references>
      </pivotArea>
    </format>
    <format dxfId="1170">
      <pivotArea field="0" dataOnly="0" labelOnly="1" grandRow="1" outline="0" axis="axisRow" fieldPosition="0">
        <references count="1">
          <reference field="4294967294" count="1" selected="0">
            <x v="8"/>
          </reference>
        </references>
      </pivotArea>
    </format>
    <format dxfId="1169">
      <pivotArea field="0" dataOnly="0" labelOnly="1" grandRow="1" outline="0" axis="axisRow" fieldPosition="0">
        <references count="1">
          <reference field="4294967294" count="1" selected="0">
            <x v="9"/>
          </reference>
        </references>
      </pivotArea>
    </format>
    <format dxfId="1168">
      <pivotArea field="0" dataOnly="0" labelOnly="1" grandRow="1" outline="0" axis="axisRow" fieldPosition="0">
        <references count="1">
          <reference field="4294967294" count="1" selected="0">
            <x v="10"/>
          </reference>
        </references>
      </pivotArea>
    </format>
    <format dxfId="1167">
      <pivotArea field="0" dataOnly="0" labelOnly="1" grandRow="1" outline="0" axis="axisRow" fieldPosition="0">
        <references count="1">
          <reference field="4294967294" count="1" selected="0">
            <x v="11"/>
          </reference>
        </references>
      </pivotArea>
    </format>
    <format dxfId="1166">
      <pivotArea field="0" dataOnly="0" labelOnly="1" grandRow="1" outline="0" axis="axisRow" fieldPosition="0">
        <references count="1">
          <reference field="4294967294" count="1" selected="0">
            <x v="12"/>
          </reference>
        </references>
      </pivotArea>
    </format>
    <format dxfId="1165">
      <pivotArea field="0" dataOnly="0" labelOnly="1" grandRow="1" outline="0" axis="axisRow" fieldPosition="0">
        <references count="1">
          <reference field="4294967294" count="1" selected="0">
            <x v="13"/>
          </reference>
        </references>
      </pivotArea>
    </format>
    <format dxfId="1164">
      <pivotArea field="0" dataOnly="0" labelOnly="1" grandRow="1" outline="0" axis="axisRow" fieldPosition="0">
        <references count="1">
          <reference field="4294967294" count="1" selected="0">
            <x v="14"/>
          </reference>
        </references>
      </pivotArea>
    </format>
    <format dxfId="1163">
      <pivotArea field="0" dataOnly="0" labelOnly="1" grandRow="1" outline="0" axis="axisRow" fieldPosition="0">
        <references count="1">
          <reference field="4294967294" count="1" selected="0">
            <x v="15"/>
          </reference>
        </references>
      </pivotArea>
    </format>
    <format dxfId="1162">
      <pivotArea field="0" dataOnly="0" labelOnly="1" grandRow="1" outline="0" axis="axisRow" fieldPosition="0">
        <references count="1">
          <reference field="4294967294" count="1" selected="0">
            <x v="16"/>
          </reference>
        </references>
      </pivotArea>
    </format>
    <format dxfId="1161">
      <pivotArea field="0" dataOnly="0" labelOnly="1" grandRow="1" outline="0" axis="axisRow" fieldPosition="0">
        <references count="1">
          <reference field="4294967294" count="1" selected="0">
            <x v="17"/>
          </reference>
        </references>
      </pivotArea>
    </format>
    <format dxfId="1160">
      <pivotArea field="0" dataOnly="0" labelOnly="1" grandRow="1" outline="0" axis="axisRow" fieldPosition="0">
        <references count="1">
          <reference field="4294967294" count="1" selected="0">
            <x v="18"/>
          </reference>
        </references>
      </pivotArea>
    </format>
    <format dxfId="1159">
      <pivotArea field="0" dataOnly="0" labelOnly="1" grandRow="1" outline="0" axis="axisRow" fieldPosition="0">
        <references count="1">
          <reference field="4294967294" count="1" selected="0">
            <x v="19"/>
          </reference>
        </references>
      </pivotArea>
    </format>
    <format dxfId="1158">
      <pivotArea field="0" dataOnly="0" labelOnly="1" grandRow="1" outline="0" axis="axisRow" fieldPosition="0">
        <references count="1">
          <reference field="4294967294" count="1" selected="0">
            <x v="20"/>
          </reference>
        </references>
      </pivotArea>
    </format>
    <format dxfId="1157">
      <pivotArea field="0" dataOnly="0" labelOnly="1" grandRow="1" outline="0" axis="axisRow" fieldPosition="0">
        <references count="1">
          <reference field="4294967294" count="1" selected="0">
            <x v="21"/>
          </reference>
        </references>
      </pivotArea>
    </format>
    <format dxfId="1156">
      <pivotArea field="0" dataOnly="0" labelOnly="1" grandRow="1" outline="0" axis="axisRow" fieldPosition="0">
        <references count="1">
          <reference field="4294967294" count="1" selected="0">
            <x v="22"/>
          </reference>
        </references>
      </pivotArea>
    </format>
    <format dxfId="1155">
      <pivotArea field="0" dataOnly="0" labelOnly="1" grandRow="1" outline="0" axis="axisRow" fieldPosition="0">
        <references count="1">
          <reference field="4294967294" count="1" selected="0">
            <x v="23"/>
          </reference>
        </references>
      </pivotArea>
    </format>
    <format dxfId="1154">
      <pivotArea field="0" dataOnly="0" labelOnly="1" grandRow="1" outline="0" axis="axisRow" fieldPosition="0">
        <references count="1">
          <reference field="4294967294" count="1" selected="0">
            <x v="24"/>
          </reference>
        </references>
      </pivotArea>
    </format>
    <format dxfId="1153">
      <pivotArea field="0" dataOnly="0" labelOnly="1" grandRow="1" outline="0" axis="axisRow" fieldPosition="0">
        <references count="1">
          <reference field="4294967294" count="1" selected="0">
            <x v="25"/>
          </reference>
        </references>
      </pivotArea>
    </format>
    <format dxfId="1152">
      <pivotArea field="0" dataOnly="0" labelOnly="1" grandRow="1" outline="0" axis="axisRow" fieldPosition="0">
        <references count="1">
          <reference field="4294967294" count="1" selected="0">
            <x v="26"/>
          </reference>
        </references>
      </pivotArea>
    </format>
    <format dxfId="1151">
      <pivotArea field="0" dataOnly="0" labelOnly="1" grandRow="1" outline="0" axis="axisRow" fieldPosition="0">
        <references count="1">
          <reference field="4294967294" count="1" selected="0">
            <x v="27"/>
          </reference>
        </references>
      </pivotArea>
    </format>
    <format dxfId="1150">
      <pivotArea field="0" dataOnly="0" labelOnly="1" grandRow="1" outline="0" axis="axisRow" fieldPosition="0">
        <references count="1">
          <reference field="4294967294" count="1" selected="0">
            <x v="28"/>
          </reference>
        </references>
      </pivotArea>
    </format>
    <format dxfId="1149">
      <pivotArea field="0" dataOnly="0" labelOnly="1" grandRow="1" outline="0" axis="axisRow" fieldPosition="0">
        <references count="1">
          <reference field="4294967294" count="1" selected="0">
            <x v="29"/>
          </reference>
        </references>
      </pivotArea>
    </format>
    <format dxfId="1148">
      <pivotArea field="0" dataOnly="0" labelOnly="1" grandRow="1" outline="0" axis="axisRow" fieldPosition="0">
        <references count="1">
          <reference field="4294967294" count="1" selected="0">
            <x v="30"/>
          </reference>
        </references>
      </pivotArea>
    </format>
    <format dxfId="1147">
      <pivotArea field="0" dataOnly="0" labelOnly="1" grandRow="1" outline="0" axis="axisRow" fieldPosition="0">
        <references count="1">
          <reference field="4294967294" count="1" selected="0">
            <x v="31"/>
          </reference>
        </references>
      </pivotArea>
    </format>
    <format dxfId="1146">
      <pivotArea field="0" dataOnly="0" labelOnly="1" grandRow="1" outline="0" axis="axisRow" fieldPosition="0">
        <references count="1">
          <reference field="4294967294" count="1" selected="0">
            <x v="32"/>
          </reference>
        </references>
      </pivotArea>
    </format>
    <format dxfId="1145">
      <pivotArea field="0" dataOnly="0" labelOnly="1" grandRow="1" outline="0" axis="axisRow" fieldPosition="0">
        <references count="1">
          <reference field="4294967294" count="1" selected="0">
            <x v="33"/>
          </reference>
        </references>
      </pivotArea>
    </format>
    <format dxfId="1144">
      <pivotArea field="0" dataOnly="0" labelOnly="1" grandRow="1" outline="0" axis="axisRow" fieldPosition="0">
        <references count="1">
          <reference field="4294967294" count="1" selected="0">
            <x v="34"/>
          </reference>
        </references>
      </pivotArea>
    </format>
    <format dxfId="1143">
      <pivotArea field="0" dataOnly="0" labelOnly="1" grandRow="1" outline="0" axis="axisRow" fieldPosition="0">
        <references count="1">
          <reference field="4294967294" count="1" selected="0">
            <x v="35"/>
          </reference>
        </references>
      </pivotArea>
    </format>
    <format dxfId="1142">
      <pivotArea field="0" dataOnly="0" labelOnly="1" grandRow="1" outline="0" axis="axisRow" fieldPosition="0">
        <references count="1">
          <reference field="4294967294" count="1" selected="0">
            <x v="0"/>
          </reference>
        </references>
      </pivotArea>
    </format>
    <format dxfId="1141">
      <pivotArea field="0" dataOnly="0" labelOnly="1" grandRow="1" outline="0" axis="axisRow" fieldPosition="0">
        <references count="1">
          <reference field="4294967294" count="1" selected="0">
            <x v="1"/>
          </reference>
        </references>
      </pivotArea>
    </format>
    <format dxfId="1140">
      <pivotArea field="0" dataOnly="0" labelOnly="1" grandRow="1" outline="0" axis="axisRow" fieldPosition="0">
        <references count="1">
          <reference field="4294967294" count="1" selected="0">
            <x v="2"/>
          </reference>
        </references>
      </pivotArea>
    </format>
    <format dxfId="1139">
      <pivotArea field="0" dataOnly="0" labelOnly="1" grandRow="1" outline="0" axis="axisRow" fieldPosition="0">
        <references count="1">
          <reference field="4294967294" count="1" selected="0">
            <x v="3"/>
          </reference>
        </references>
      </pivotArea>
    </format>
    <format dxfId="1138">
      <pivotArea field="0" dataOnly="0" labelOnly="1" grandRow="1" outline="0" axis="axisRow" fieldPosition="0">
        <references count="1">
          <reference field="4294967294" count="1" selected="0">
            <x v="4"/>
          </reference>
        </references>
      </pivotArea>
    </format>
    <format dxfId="1137">
      <pivotArea field="0" dataOnly="0" labelOnly="1" grandRow="1" outline="0" axis="axisRow" fieldPosition="0">
        <references count="1">
          <reference field="4294967294" count="1" selected="0">
            <x v="5"/>
          </reference>
        </references>
      </pivotArea>
    </format>
    <format dxfId="1136">
      <pivotArea field="0" dataOnly="0" labelOnly="1" grandRow="1" outline="0" axis="axisRow" fieldPosition="0">
        <references count="1">
          <reference field="4294967294" count="1" selected="0">
            <x v="6"/>
          </reference>
        </references>
      </pivotArea>
    </format>
    <format dxfId="1135">
      <pivotArea field="0" dataOnly="0" labelOnly="1" grandRow="1" outline="0" axis="axisRow" fieldPosition="0">
        <references count="1">
          <reference field="4294967294" count="1" selected="0">
            <x v="7"/>
          </reference>
        </references>
      </pivotArea>
    </format>
    <format dxfId="1134">
      <pivotArea field="0" dataOnly="0" labelOnly="1" grandRow="1" outline="0" axis="axisRow" fieldPosition="0">
        <references count="1">
          <reference field="4294967294" count="1" selected="0">
            <x v="8"/>
          </reference>
        </references>
      </pivotArea>
    </format>
    <format dxfId="1133">
      <pivotArea field="0" dataOnly="0" labelOnly="1" grandRow="1" outline="0" axis="axisRow" fieldPosition="0">
        <references count="1">
          <reference field="4294967294" count="1" selected="0">
            <x v="9"/>
          </reference>
        </references>
      </pivotArea>
    </format>
    <format dxfId="1132">
      <pivotArea field="0" dataOnly="0" labelOnly="1" grandRow="1" outline="0" axis="axisRow" fieldPosition="0">
        <references count="1">
          <reference field="4294967294" count="1" selected="0">
            <x v="10"/>
          </reference>
        </references>
      </pivotArea>
    </format>
    <format dxfId="1131">
      <pivotArea field="0" dataOnly="0" labelOnly="1" grandRow="1" outline="0" axis="axisRow" fieldPosition="0">
        <references count="1">
          <reference field="4294967294" count="1" selected="0">
            <x v="11"/>
          </reference>
        </references>
      </pivotArea>
    </format>
    <format dxfId="1130">
      <pivotArea field="0" dataOnly="0" labelOnly="1" grandRow="1" outline="0" axis="axisRow" fieldPosition="0">
        <references count="1">
          <reference field="4294967294" count="1" selected="0">
            <x v="12"/>
          </reference>
        </references>
      </pivotArea>
    </format>
    <format dxfId="1129">
      <pivotArea field="0" dataOnly="0" labelOnly="1" grandRow="1" outline="0" axis="axisRow" fieldPosition="0">
        <references count="1">
          <reference field="4294967294" count="1" selected="0">
            <x v="13"/>
          </reference>
        </references>
      </pivotArea>
    </format>
    <format dxfId="1128">
      <pivotArea field="0" dataOnly="0" labelOnly="1" grandRow="1" outline="0" axis="axisRow" fieldPosition="0">
        <references count="1">
          <reference field="4294967294" count="1" selected="0">
            <x v="14"/>
          </reference>
        </references>
      </pivotArea>
    </format>
    <format dxfId="1127">
      <pivotArea field="0" dataOnly="0" labelOnly="1" grandRow="1" outline="0" axis="axisRow" fieldPosition="0">
        <references count="1">
          <reference field="4294967294" count="1" selected="0">
            <x v="15"/>
          </reference>
        </references>
      </pivotArea>
    </format>
    <format dxfId="1126">
      <pivotArea field="0" dataOnly="0" labelOnly="1" grandRow="1" outline="0" axis="axisRow" fieldPosition="0">
        <references count="1">
          <reference field="4294967294" count="1" selected="0">
            <x v="16"/>
          </reference>
        </references>
      </pivotArea>
    </format>
    <format dxfId="1125">
      <pivotArea field="0" dataOnly="0" labelOnly="1" grandRow="1" outline="0" axis="axisRow" fieldPosition="0">
        <references count="1">
          <reference field="4294967294" count="1" selected="0">
            <x v="17"/>
          </reference>
        </references>
      </pivotArea>
    </format>
    <format dxfId="1124">
      <pivotArea field="0" dataOnly="0" labelOnly="1" grandRow="1" outline="0" axis="axisRow" fieldPosition="0">
        <references count="1">
          <reference field="4294967294" count="1" selected="0">
            <x v="18"/>
          </reference>
        </references>
      </pivotArea>
    </format>
    <format dxfId="1123">
      <pivotArea field="0" dataOnly="0" labelOnly="1" grandRow="1" outline="0" axis="axisRow" fieldPosition="0">
        <references count="1">
          <reference field="4294967294" count="1" selected="0">
            <x v="19"/>
          </reference>
        </references>
      </pivotArea>
    </format>
    <format dxfId="1122">
      <pivotArea field="0" dataOnly="0" labelOnly="1" grandRow="1" outline="0" axis="axisRow" fieldPosition="0">
        <references count="1">
          <reference field="4294967294" count="1" selected="0">
            <x v="20"/>
          </reference>
        </references>
      </pivotArea>
    </format>
    <format dxfId="1121">
      <pivotArea field="0" dataOnly="0" labelOnly="1" grandRow="1" outline="0" axis="axisRow" fieldPosition="0">
        <references count="1">
          <reference field="4294967294" count="1" selected="0">
            <x v="21"/>
          </reference>
        </references>
      </pivotArea>
    </format>
    <format dxfId="1120">
      <pivotArea field="0" dataOnly="0" labelOnly="1" grandRow="1" outline="0" axis="axisRow" fieldPosition="0">
        <references count="1">
          <reference field="4294967294" count="1" selected="0">
            <x v="22"/>
          </reference>
        </references>
      </pivotArea>
    </format>
    <format dxfId="1119">
      <pivotArea field="0" dataOnly="0" labelOnly="1" grandRow="1" outline="0" axis="axisRow" fieldPosition="0">
        <references count="1">
          <reference field="4294967294" count="1" selected="0">
            <x v="23"/>
          </reference>
        </references>
      </pivotArea>
    </format>
    <format dxfId="1118">
      <pivotArea field="0" dataOnly="0" labelOnly="1" grandRow="1" outline="0" axis="axisRow" fieldPosition="0">
        <references count="1">
          <reference field="4294967294" count="1" selected="0">
            <x v="24"/>
          </reference>
        </references>
      </pivotArea>
    </format>
    <format dxfId="1117">
      <pivotArea field="0" dataOnly="0" labelOnly="1" grandRow="1" outline="0" axis="axisRow" fieldPosition="0">
        <references count="1">
          <reference field="4294967294" count="1" selected="0">
            <x v="25"/>
          </reference>
        </references>
      </pivotArea>
    </format>
    <format dxfId="1116">
      <pivotArea field="0" dataOnly="0" labelOnly="1" grandRow="1" outline="0" axis="axisRow" fieldPosition="0">
        <references count="1">
          <reference field="4294967294" count="1" selected="0">
            <x v="26"/>
          </reference>
        </references>
      </pivotArea>
    </format>
    <format dxfId="1115">
      <pivotArea field="0" dataOnly="0" labelOnly="1" grandRow="1" outline="0" axis="axisRow" fieldPosition="0">
        <references count="1">
          <reference field="4294967294" count="1" selected="0">
            <x v="27"/>
          </reference>
        </references>
      </pivotArea>
    </format>
    <format dxfId="1114">
      <pivotArea field="0" dataOnly="0" labelOnly="1" grandRow="1" outline="0" axis="axisRow" fieldPosition="0">
        <references count="1">
          <reference field="4294967294" count="1" selected="0">
            <x v="28"/>
          </reference>
        </references>
      </pivotArea>
    </format>
    <format dxfId="1113">
      <pivotArea field="0" dataOnly="0" labelOnly="1" grandRow="1" outline="0" axis="axisRow" fieldPosition="0">
        <references count="1">
          <reference field="4294967294" count="1" selected="0">
            <x v="29"/>
          </reference>
        </references>
      </pivotArea>
    </format>
    <format dxfId="1112">
      <pivotArea field="0" dataOnly="0" labelOnly="1" grandRow="1" outline="0" axis="axisRow" fieldPosition="0">
        <references count="1">
          <reference field="4294967294" count="1" selected="0">
            <x v="30"/>
          </reference>
        </references>
      </pivotArea>
    </format>
    <format dxfId="1111">
      <pivotArea field="0" dataOnly="0" labelOnly="1" grandRow="1" outline="0" axis="axisRow" fieldPosition="0">
        <references count="1">
          <reference field="4294967294" count="1" selected="0">
            <x v="31"/>
          </reference>
        </references>
      </pivotArea>
    </format>
    <format dxfId="1110">
      <pivotArea field="0" dataOnly="0" labelOnly="1" grandRow="1" outline="0" axis="axisRow" fieldPosition="0">
        <references count="1">
          <reference field="4294967294" count="1" selected="0">
            <x v="32"/>
          </reference>
        </references>
      </pivotArea>
    </format>
    <format dxfId="1109">
      <pivotArea field="0" dataOnly="0" labelOnly="1" grandRow="1" outline="0" axis="axisRow" fieldPosition="0">
        <references count="1">
          <reference field="4294967294" count="1" selected="0">
            <x v="33"/>
          </reference>
        </references>
      </pivotArea>
    </format>
    <format dxfId="1108">
      <pivotArea field="0" dataOnly="0" labelOnly="1" grandRow="1" outline="0" axis="axisRow" fieldPosition="0">
        <references count="1">
          <reference field="4294967294" count="1" selected="0">
            <x v="34"/>
          </reference>
        </references>
      </pivotArea>
    </format>
    <format dxfId="1107">
      <pivotArea field="0" dataOnly="0" labelOnly="1" grandRow="1" outline="0" axis="axisRow" fieldPosition="0">
        <references count="1">
          <reference field="4294967294" count="1" selected="0">
            <x v="35"/>
          </reference>
        </references>
      </pivotArea>
    </format>
    <format dxfId="1106">
      <pivotArea field="0" dataOnly="0" labelOnly="1" grandRow="1" outline="0" axis="axisRow" fieldPosition="0">
        <references count="1">
          <reference field="4294967294" count="1" selected="0">
            <x v="0"/>
          </reference>
        </references>
      </pivotArea>
    </format>
    <format dxfId="1105">
      <pivotArea field="0" dataOnly="0" labelOnly="1" grandRow="1" outline="0" axis="axisRow" fieldPosition="0">
        <references count="1">
          <reference field="4294967294" count="1" selected="0">
            <x v="1"/>
          </reference>
        </references>
      </pivotArea>
    </format>
    <format dxfId="1104">
      <pivotArea field="0" dataOnly="0" labelOnly="1" grandRow="1" outline="0" axis="axisRow" fieldPosition="0">
        <references count="1">
          <reference field="4294967294" count="1" selected="0">
            <x v="2"/>
          </reference>
        </references>
      </pivotArea>
    </format>
    <format dxfId="1103">
      <pivotArea field="0" dataOnly="0" labelOnly="1" grandRow="1" outline="0" axis="axisRow" fieldPosition="0">
        <references count="1">
          <reference field="4294967294" count="1" selected="0">
            <x v="3"/>
          </reference>
        </references>
      </pivotArea>
    </format>
    <format dxfId="1102">
      <pivotArea field="0" dataOnly="0" labelOnly="1" grandRow="1" outline="0" axis="axisRow" fieldPosition="0">
        <references count="1">
          <reference field="4294967294" count="1" selected="0">
            <x v="4"/>
          </reference>
        </references>
      </pivotArea>
    </format>
    <format dxfId="1101">
      <pivotArea field="0" dataOnly="0" labelOnly="1" grandRow="1" outline="0" axis="axisRow" fieldPosition="0">
        <references count="1">
          <reference field="4294967294" count="1" selected="0">
            <x v="5"/>
          </reference>
        </references>
      </pivotArea>
    </format>
    <format dxfId="1100">
      <pivotArea field="0" dataOnly="0" labelOnly="1" grandRow="1" outline="0" axis="axisRow" fieldPosition="0">
        <references count="1">
          <reference field="4294967294" count="1" selected="0">
            <x v="6"/>
          </reference>
        </references>
      </pivotArea>
    </format>
    <format dxfId="1099">
      <pivotArea field="0" dataOnly="0" labelOnly="1" grandRow="1" outline="0" axis="axisRow" fieldPosition="0">
        <references count="1">
          <reference field="4294967294" count="1" selected="0">
            <x v="7"/>
          </reference>
        </references>
      </pivotArea>
    </format>
    <format dxfId="1098">
      <pivotArea field="0" dataOnly="0" labelOnly="1" grandRow="1" outline="0" axis="axisRow" fieldPosition="0">
        <references count="1">
          <reference field="4294967294" count="1" selected="0">
            <x v="8"/>
          </reference>
        </references>
      </pivotArea>
    </format>
    <format dxfId="1097">
      <pivotArea field="0" dataOnly="0" labelOnly="1" grandRow="1" outline="0" axis="axisRow" fieldPosition="0">
        <references count="1">
          <reference field="4294967294" count="1" selected="0">
            <x v="9"/>
          </reference>
        </references>
      </pivotArea>
    </format>
    <format dxfId="1096">
      <pivotArea field="0" dataOnly="0" labelOnly="1" grandRow="1" outline="0" axis="axisRow" fieldPosition="0">
        <references count="1">
          <reference field="4294967294" count="1" selected="0">
            <x v="10"/>
          </reference>
        </references>
      </pivotArea>
    </format>
    <format dxfId="1095">
      <pivotArea field="0" dataOnly="0" labelOnly="1" grandRow="1" outline="0" axis="axisRow" fieldPosition="0">
        <references count="1">
          <reference field="4294967294" count="1" selected="0">
            <x v="11"/>
          </reference>
        </references>
      </pivotArea>
    </format>
    <format dxfId="1094">
      <pivotArea field="0" dataOnly="0" labelOnly="1" grandRow="1" outline="0" axis="axisRow" fieldPosition="0">
        <references count="1">
          <reference field="4294967294" count="1" selected="0">
            <x v="12"/>
          </reference>
        </references>
      </pivotArea>
    </format>
    <format dxfId="1093">
      <pivotArea field="0" dataOnly="0" labelOnly="1" grandRow="1" outline="0" axis="axisRow" fieldPosition="0">
        <references count="1">
          <reference field="4294967294" count="1" selected="0">
            <x v="13"/>
          </reference>
        </references>
      </pivotArea>
    </format>
    <format dxfId="1092">
      <pivotArea field="0" dataOnly="0" labelOnly="1" grandRow="1" outline="0" axis="axisRow" fieldPosition="0">
        <references count="1">
          <reference field="4294967294" count="1" selected="0">
            <x v="14"/>
          </reference>
        </references>
      </pivotArea>
    </format>
    <format dxfId="1091">
      <pivotArea field="0" dataOnly="0" labelOnly="1" grandRow="1" outline="0" axis="axisRow" fieldPosition="0">
        <references count="1">
          <reference field="4294967294" count="1" selected="0">
            <x v="15"/>
          </reference>
        </references>
      </pivotArea>
    </format>
    <format dxfId="1090">
      <pivotArea field="0" dataOnly="0" labelOnly="1" grandRow="1" outline="0" axis="axisRow" fieldPosition="0">
        <references count="1">
          <reference field="4294967294" count="1" selected="0">
            <x v="16"/>
          </reference>
        </references>
      </pivotArea>
    </format>
    <format dxfId="1089">
      <pivotArea field="0" dataOnly="0" labelOnly="1" grandRow="1" outline="0" axis="axisRow" fieldPosition="0">
        <references count="1">
          <reference field="4294967294" count="1" selected="0">
            <x v="17"/>
          </reference>
        </references>
      </pivotArea>
    </format>
    <format dxfId="1088">
      <pivotArea field="0" dataOnly="0" labelOnly="1" grandRow="1" outline="0" axis="axisRow" fieldPosition="0">
        <references count="1">
          <reference field="4294967294" count="1" selected="0">
            <x v="18"/>
          </reference>
        </references>
      </pivotArea>
    </format>
    <format dxfId="1087">
      <pivotArea field="0" dataOnly="0" labelOnly="1" grandRow="1" outline="0" axis="axisRow" fieldPosition="0">
        <references count="1">
          <reference field="4294967294" count="1" selected="0">
            <x v="19"/>
          </reference>
        </references>
      </pivotArea>
    </format>
    <format dxfId="1086">
      <pivotArea field="0" dataOnly="0" labelOnly="1" grandRow="1" outline="0" axis="axisRow" fieldPosition="0">
        <references count="1">
          <reference field="4294967294" count="1" selected="0">
            <x v="20"/>
          </reference>
        </references>
      </pivotArea>
    </format>
    <format dxfId="1085">
      <pivotArea field="0" dataOnly="0" labelOnly="1" grandRow="1" outline="0" axis="axisRow" fieldPosition="0">
        <references count="1">
          <reference field="4294967294" count="1" selected="0">
            <x v="21"/>
          </reference>
        </references>
      </pivotArea>
    </format>
    <format dxfId="1084">
      <pivotArea field="0" dataOnly="0" labelOnly="1" grandRow="1" outline="0" axis="axisRow" fieldPosition="0">
        <references count="1">
          <reference field="4294967294" count="1" selected="0">
            <x v="22"/>
          </reference>
        </references>
      </pivotArea>
    </format>
    <format dxfId="1083">
      <pivotArea field="0" dataOnly="0" labelOnly="1" grandRow="1" outline="0" axis="axisRow" fieldPosition="0">
        <references count="1">
          <reference field="4294967294" count="1" selected="0">
            <x v="23"/>
          </reference>
        </references>
      </pivotArea>
    </format>
    <format dxfId="1082">
      <pivotArea field="0" dataOnly="0" labelOnly="1" grandRow="1" outline="0" axis="axisRow" fieldPosition="0">
        <references count="1">
          <reference field="4294967294" count="1" selected="0">
            <x v="24"/>
          </reference>
        </references>
      </pivotArea>
    </format>
    <format dxfId="1081">
      <pivotArea field="0" dataOnly="0" labelOnly="1" grandRow="1" outline="0" axis="axisRow" fieldPosition="0">
        <references count="1">
          <reference field="4294967294" count="1" selected="0">
            <x v="25"/>
          </reference>
        </references>
      </pivotArea>
    </format>
    <format dxfId="1080">
      <pivotArea field="0" dataOnly="0" labelOnly="1" grandRow="1" outline="0" axis="axisRow" fieldPosition="0">
        <references count="1">
          <reference field="4294967294" count="1" selected="0">
            <x v="26"/>
          </reference>
        </references>
      </pivotArea>
    </format>
    <format dxfId="1079">
      <pivotArea field="0" dataOnly="0" labelOnly="1" grandRow="1" outline="0" axis="axisRow" fieldPosition="0">
        <references count="1">
          <reference field="4294967294" count="1" selected="0">
            <x v="27"/>
          </reference>
        </references>
      </pivotArea>
    </format>
    <format dxfId="1078">
      <pivotArea field="0" dataOnly="0" labelOnly="1" grandRow="1" outline="0" axis="axisRow" fieldPosition="0">
        <references count="1">
          <reference field="4294967294" count="1" selected="0">
            <x v="28"/>
          </reference>
        </references>
      </pivotArea>
    </format>
    <format dxfId="1077">
      <pivotArea field="0" dataOnly="0" labelOnly="1" grandRow="1" outline="0" axis="axisRow" fieldPosition="0">
        <references count="1">
          <reference field="4294967294" count="1" selected="0">
            <x v="29"/>
          </reference>
        </references>
      </pivotArea>
    </format>
    <format dxfId="1076">
      <pivotArea field="0" dataOnly="0" labelOnly="1" grandRow="1" outline="0" axis="axisRow" fieldPosition="0">
        <references count="1">
          <reference field="4294967294" count="1" selected="0">
            <x v="30"/>
          </reference>
        </references>
      </pivotArea>
    </format>
    <format dxfId="1075">
      <pivotArea field="0" dataOnly="0" labelOnly="1" grandRow="1" outline="0" axis="axisRow" fieldPosition="0">
        <references count="1">
          <reference field="4294967294" count="1" selected="0">
            <x v="31"/>
          </reference>
        </references>
      </pivotArea>
    </format>
    <format dxfId="1074">
      <pivotArea field="0" dataOnly="0" labelOnly="1" grandRow="1" outline="0" axis="axisRow" fieldPosition="0">
        <references count="1">
          <reference field="4294967294" count="1" selected="0">
            <x v="32"/>
          </reference>
        </references>
      </pivotArea>
    </format>
    <format dxfId="1073">
      <pivotArea field="0" dataOnly="0" labelOnly="1" grandRow="1" outline="0" axis="axisRow" fieldPosition="0">
        <references count="1">
          <reference field="4294967294" count="1" selected="0">
            <x v="33"/>
          </reference>
        </references>
      </pivotArea>
    </format>
    <format dxfId="1072">
      <pivotArea field="0" dataOnly="0" labelOnly="1" grandRow="1" outline="0" axis="axisRow" fieldPosition="0">
        <references count="1">
          <reference field="4294967294" count="1" selected="0">
            <x v="34"/>
          </reference>
        </references>
      </pivotArea>
    </format>
    <format dxfId="1071">
      <pivotArea field="0" dataOnly="0" labelOnly="1" grandRow="1" outline="0" axis="axisRow" fieldPosition="0">
        <references count="1">
          <reference field="4294967294" count="1" selected="0">
            <x v="35"/>
          </reference>
        </references>
      </pivotArea>
    </format>
    <format dxfId="1070">
      <pivotArea field="0" dataOnly="0" labelOnly="1" grandRow="1" outline="0" axis="axisRow" fieldPosition="0">
        <references count="1">
          <reference field="4294967294" count="1" selected="0">
            <x v="0"/>
          </reference>
        </references>
      </pivotArea>
    </format>
    <format dxfId="1069">
      <pivotArea field="0" dataOnly="0" labelOnly="1" grandRow="1" outline="0" axis="axisRow" fieldPosition="0">
        <references count="1">
          <reference field="4294967294" count="1" selected="0">
            <x v="1"/>
          </reference>
        </references>
      </pivotArea>
    </format>
    <format dxfId="1068">
      <pivotArea field="0" dataOnly="0" labelOnly="1" grandRow="1" outline="0" axis="axisRow" fieldPosition="0">
        <references count="1">
          <reference field="4294967294" count="1" selected="0">
            <x v="2"/>
          </reference>
        </references>
      </pivotArea>
    </format>
    <format dxfId="1067">
      <pivotArea field="0" dataOnly="0" labelOnly="1" grandRow="1" outline="0" axis="axisRow" fieldPosition="0">
        <references count="1">
          <reference field="4294967294" count="1" selected="0">
            <x v="3"/>
          </reference>
        </references>
      </pivotArea>
    </format>
    <format dxfId="1066">
      <pivotArea field="0" dataOnly="0" labelOnly="1" grandRow="1" outline="0" axis="axisRow" fieldPosition="0">
        <references count="1">
          <reference field="4294967294" count="1" selected="0">
            <x v="4"/>
          </reference>
        </references>
      </pivotArea>
    </format>
    <format dxfId="1065">
      <pivotArea field="0" dataOnly="0" labelOnly="1" grandRow="1" outline="0" axis="axisRow" fieldPosition="0">
        <references count="1">
          <reference field="4294967294" count="1" selected="0">
            <x v="5"/>
          </reference>
        </references>
      </pivotArea>
    </format>
    <format dxfId="1064">
      <pivotArea field="0" dataOnly="0" labelOnly="1" grandRow="1" outline="0" axis="axisRow" fieldPosition="0">
        <references count="1">
          <reference field="4294967294" count="1" selected="0">
            <x v="6"/>
          </reference>
        </references>
      </pivotArea>
    </format>
    <format dxfId="1063">
      <pivotArea field="0" dataOnly="0" labelOnly="1" grandRow="1" outline="0" axis="axisRow" fieldPosition="0">
        <references count="1">
          <reference field="4294967294" count="1" selected="0">
            <x v="7"/>
          </reference>
        </references>
      </pivotArea>
    </format>
    <format dxfId="1062">
      <pivotArea field="0" dataOnly="0" labelOnly="1" grandRow="1" outline="0" axis="axisRow" fieldPosition="0">
        <references count="1">
          <reference field="4294967294" count="1" selected="0">
            <x v="8"/>
          </reference>
        </references>
      </pivotArea>
    </format>
    <format dxfId="1061">
      <pivotArea field="0" dataOnly="0" labelOnly="1" grandRow="1" outline="0" axis="axisRow" fieldPosition="0">
        <references count="1">
          <reference field="4294967294" count="1" selected="0">
            <x v="9"/>
          </reference>
        </references>
      </pivotArea>
    </format>
    <format dxfId="1060">
      <pivotArea field="0" dataOnly="0" labelOnly="1" grandRow="1" outline="0" axis="axisRow" fieldPosition="0">
        <references count="1">
          <reference field="4294967294" count="1" selected="0">
            <x v="10"/>
          </reference>
        </references>
      </pivotArea>
    </format>
    <format dxfId="1059">
      <pivotArea field="0" dataOnly="0" labelOnly="1" grandRow="1" outline="0" axis="axisRow" fieldPosition="0">
        <references count="1">
          <reference field="4294967294" count="1" selected="0">
            <x v="11"/>
          </reference>
        </references>
      </pivotArea>
    </format>
    <format dxfId="1058">
      <pivotArea field="0" dataOnly="0" labelOnly="1" grandRow="1" outline="0" axis="axisRow" fieldPosition="0">
        <references count="1">
          <reference field="4294967294" count="1" selected="0">
            <x v="12"/>
          </reference>
        </references>
      </pivotArea>
    </format>
    <format dxfId="1057">
      <pivotArea field="0" dataOnly="0" labelOnly="1" grandRow="1" outline="0" axis="axisRow" fieldPosition="0">
        <references count="1">
          <reference field="4294967294" count="1" selected="0">
            <x v="13"/>
          </reference>
        </references>
      </pivotArea>
    </format>
    <format dxfId="1056">
      <pivotArea field="0" dataOnly="0" labelOnly="1" grandRow="1" outline="0" axis="axisRow" fieldPosition="0">
        <references count="1">
          <reference field="4294967294" count="1" selected="0">
            <x v="14"/>
          </reference>
        </references>
      </pivotArea>
    </format>
    <format dxfId="1055">
      <pivotArea field="0" dataOnly="0" labelOnly="1" grandRow="1" outline="0" axis="axisRow" fieldPosition="0">
        <references count="1">
          <reference field="4294967294" count="1" selected="0">
            <x v="15"/>
          </reference>
        </references>
      </pivotArea>
    </format>
    <format dxfId="1054">
      <pivotArea field="0" dataOnly="0" labelOnly="1" grandRow="1" outline="0" axis="axisRow" fieldPosition="0">
        <references count="1">
          <reference field="4294967294" count="1" selected="0">
            <x v="16"/>
          </reference>
        </references>
      </pivotArea>
    </format>
    <format dxfId="1053">
      <pivotArea field="0" dataOnly="0" labelOnly="1" grandRow="1" outline="0" axis="axisRow" fieldPosition="0">
        <references count="1">
          <reference field="4294967294" count="1" selected="0">
            <x v="17"/>
          </reference>
        </references>
      </pivotArea>
    </format>
    <format dxfId="1052">
      <pivotArea field="0" dataOnly="0" labelOnly="1" grandRow="1" outline="0" axis="axisRow" fieldPosition="0">
        <references count="1">
          <reference field="4294967294" count="1" selected="0">
            <x v="18"/>
          </reference>
        </references>
      </pivotArea>
    </format>
    <format dxfId="1051">
      <pivotArea field="0" dataOnly="0" labelOnly="1" grandRow="1" outline="0" axis="axisRow" fieldPosition="0">
        <references count="1">
          <reference field="4294967294" count="1" selected="0">
            <x v="19"/>
          </reference>
        </references>
      </pivotArea>
    </format>
    <format dxfId="1050">
      <pivotArea field="0" dataOnly="0" labelOnly="1" grandRow="1" outline="0" axis="axisRow" fieldPosition="0">
        <references count="1">
          <reference field="4294967294" count="1" selected="0">
            <x v="20"/>
          </reference>
        </references>
      </pivotArea>
    </format>
    <format dxfId="1049">
      <pivotArea field="0" dataOnly="0" labelOnly="1" grandRow="1" outline="0" axis="axisRow" fieldPosition="0">
        <references count="1">
          <reference field="4294967294" count="1" selected="0">
            <x v="21"/>
          </reference>
        </references>
      </pivotArea>
    </format>
    <format dxfId="1048">
      <pivotArea field="0" dataOnly="0" labelOnly="1" grandRow="1" outline="0" axis="axisRow" fieldPosition="0">
        <references count="1">
          <reference field="4294967294" count="1" selected="0">
            <x v="22"/>
          </reference>
        </references>
      </pivotArea>
    </format>
    <format dxfId="1047">
      <pivotArea field="0" dataOnly="0" labelOnly="1" grandRow="1" outline="0" axis="axisRow" fieldPosition="0">
        <references count="1">
          <reference field="4294967294" count="1" selected="0">
            <x v="23"/>
          </reference>
        </references>
      </pivotArea>
    </format>
    <format dxfId="1046">
      <pivotArea field="0" dataOnly="0" labelOnly="1" grandRow="1" outline="0" axis="axisRow" fieldPosition="0">
        <references count="1">
          <reference field="4294967294" count="1" selected="0">
            <x v="24"/>
          </reference>
        </references>
      </pivotArea>
    </format>
    <format dxfId="1045">
      <pivotArea field="0" dataOnly="0" labelOnly="1" grandRow="1" outline="0" axis="axisRow" fieldPosition="0">
        <references count="1">
          <reference field="4294967294" count="1" selected="0">
            <x v="25"/>
          </reference>
        </references>
      </pivotArea>
    </format>
    <format dxfId="1044">
      <pivotArea field="0" dataOnly="0" labelOnly="1" grandRow="1" outline="0" axis="axisRow" fieldPosition="0">
        <references count="1">
          <reference field="4294967294" count="1" selected="0">
            <x v="26"/>
          </reference>
        </references>
      </pivotArea>
    </format>
    <format dxfId="1043">
      <pivotArea field="0" dataOnly="0" labelOnly="1" grandRow="1" outline="0" axis="axisRow" fieldPosition="0">
        <references count="1">
          <reference field="4294967294" count="1" selected="0">
            <x v="27"/>
          </reference>
        </references>
      </pivotArea>
    </format>
    <format dxfId="1042">
      <pivotArea field="0" dataOnly="0" labelOnly="1" grandRow="1" outline="0" axis="axisRow" fieldPosition="0">
        <references count="1">
          <reference field="4294967294" count="1" selected="0">
            <x v="28"/>
          </reference>
        </references>
      </pivotArea>
    </format>
    <format dxfId="1041">
      <pivotArea field="0" dataOnly="0" labelOnly="1" grandRow="1" outline="0" axis="axisRow" fieldPosition="0">
        <references count="1">
          <reference field="4294967294" count="1" selected="0">
            <x v="29"/>
          </reference>
        </references>
      </pivotArea>
    </format>
    <format dxfId="1040">
      <pivotArea field="0" dataOnly="0" labelOnly="1" grandRow="1" outline="0" axis="axisRow" fieldPosition="0">
        <references count="1">
          <reference field="4294967294" count="1" selected="0">
            <x v="30"/>
          </reference>
        </references>
      </pivotArea>
    </format>
    <format dxfId="1039">
      <pivotArea field="0" dataOnly="0" labelOnly="1" grandRow="1" outline="0" axis="axisRow" fieldPosition="0">
        <references count="1">
          <reference field="4294967294" count="1" selected="0">
            <x v="31"/>
          </reference>
        </references>
      </pivotArea>
    </format>
    <format dxfId="1038">
      <pivotArea field="0" dataOnly="0" labelOnly="1" grandRow="1" outline="0" axis="axisRow" fieldPosition="0">
        <references count="1">
          <reference field="4294967294" count="1" selected="0">
            <x v="32"/>
          </reference>
        </references>
      </pivotArea>
    </format>
    <format dxfId="1037">
      <pivotArea field="0" dataOnly="0" labelOnly="1" grandRow="1" outline="0" axis="axisRow" fieldPosition="0">
        <references count="1">
          <reference field="4294967294" count="1" selected="0">
            <x v="33"/>
          </reference>
        </references>
      </pivotArea>
    </format>
    <format dxfId="1036">
      <pivotArea field="0" dataOnly="0" labelOnly="1" grandRow="1" outline="0" axis="axisRow" fieldPosition="0">
        <references count="1">
          <reference field="4294967294" count="1" selected="0">
            <x v="34"/>
          </reference>
        </references>
      </pivotArea>
    </format>
    <format dxfId="1035">
      <pivotArea field="0" dataOnly="0" labelOnly="1" grandRow="1" outline="0" axis="axisRow" fieldPosition="0">
        <references count="1">
          <reference field="4294967294" count="1" selected="0">
            <x v="35"/>
          </reference>
        </references>
      </pivotArea>
    </format>
    <format dxfId="1034">
      <pivotArea field="0" dataOnly="0" labelOnly="1" grandRow="1" outline="0" axis="axisRow" fieldPosition="0">
        <references count="1">
          <reference field="4294967294" count="1" selected="0">
            <x v="0"/>
          </reference>
        </references>
      </pivotArea>
    </format>
    <format dxfId="1033">
      <pivotArea field="0" dataOnly="0" labelOnly="1" grandRow="1" outline="0" axis="axisRow" fieldPosition="0">
        <references count="1">
          <reference field="4294967294" count="1" selected="0">
            <x v="1"/>
          </reference>
        </references>
      </pivotArea>
    </format>
    <format dxfId="1032">
      <pivotArea field="0" dataOnly="0" labelOnly="1" grandRow="1" outline="0" axis="axisRow" fieldPosition="0">
        <references count="1">
          <reference field="4294967294" count="1" selected="0">
            <x v="2"/>
          </reference>
        </references>
      </pivotArea>
    </format>
    <format dxfId="1031">
      <pivotArea field="0" dataOnly="0" labelOnly="1" grandRow="1" outline="0" axis="axisRow" fieldPosition="0">
        <references count="1">
          <reference field="4294967294" count="1" selected="0">
            <x v="3"/>
          </reference>
        </references>
      </pivotArea>
    </format>
    <format dxfId="1030">
      <pivotArea field="0" dataOnly="0" labelOnly="1" grandRow="1" outline="0" axis="axisRow" fieldPosition="0">
        <references count="1">
          <reference field="4294967294" count="1" selected="0">
            <x v="4"/>
          </reference>
        </references>
      </pivotArea>
    </format>
    <format dxfId="1029">
      <pivotArea field="0" dataOnly="0" labelOnly="1" grandRow="1" outline="0" axis="axisRow" fieldPosition="0">
        <references count="1">
          <reference field="4294967294" count="1" selected="0">
            <x v="5"/>
          </reference>
        </references>
      </pivotArea>
    </format>
    <format dxfId="1028">
      <pivotArea field="0" dataOnly="0" labelOnly="1" grandRow="1" outline="0" axis="axisRow" fieldPosition="0">
        <references count="1">
          <reference field="4294967294" count="1" selected="0">
            <x v="6"/>
          </reference>
        </references>
      </pivotArea>
    </format>
    <format dxfId="1027">
      <pivotArea field="0" dataOnly="0" labelOnly="1" grandRow="1" outline="0" axis="axisRow" fieldPosition="0">
        <references count="1">
          <reference field="4294967294" count="1" selected="0">
            <x v="7"/>
          </reference>
        </references>
      </pivotArea>
    </format>
    <format dxfId="1026">
      <pivotArea field="0" dataOnly="0" labelOnly="1" grandRow="1" outline="0" axis="axisRow" fieldPosition="0">
        <references count="1">
          <reference field="4294967294" count="1" selected="0">
            <x v="8"/>
          </reference>
        </references>
      </pivotArea>
    </format>
    <format dxfId="1025">
      <pivotArea field="0" dataOnly="0" labelOnly="1" grandRow="1" outline="0" axis="axisRow" fieldPosition="0">
        <references count="1">
          <reference field="4294967294" count="1" selected="0">
            <x v="9"/>
          </reference>
        </references>
      </pivotArea>
    </format>
    <format dxfId="1024">
      <pivotArea field="0" dataOnly="0" labelOnly="1" grandRow="1" outline="0" axis="axisRow" fieldPosition="0">
        <references count="1">
          <reference field="4294967294" count="1" selected="0">
            <x v="10"/>
          </reference>
        </references>
      </pivotArea>
    </format>
    <format dxfId="1023">
      <pivotArea field="0" dataOnly="0" labelOnly="1" grandRow="1" outline="0" axis="axisRow" fieldPosition="0">
        <references count="1">
          <reference field="4294967294" count="1" selected="0">
            <x v="11"/>
          </reference>
        </references>
      </pivotArea>
    </format>
    <format dxfId="1022">
      <pivotArea field="0" dataOnly="0" labelOnly="1" grandRow="1" outline="0" axis="axisRow" fieldPosition="0">
        <references count="1">
          <reference field="4294967294" count="1" selected="0">
            <x v="12"/>
          </reference>
        </references>
      </pivotArea>
    </format>
    <format dxfId="1021">
      <pivotArea field="0" dataOnly="0" labelOnly="1" grandRow="1" outline="0" axis="axisRow" fieldPosition="0">
        <references count="1">
          <reference field="4294967294" count="1" selected="0">
            <x v="13"/>
          </reference>
        </references>
      </pivotArea>
    </format>
    <format dxfId="1020">
      <pivotArea field="0" dataOnly="0" labelOnly="1" grandRow="1" outline="0" axis="axisRow" fieldPosition="0">
        <references count="1">
          <reference field="4294967294" count="1" selected="0">
            <x v="14"/>
          </reference>
        </references>
      </pivotArea>
    </format>
    <format dxfId="1019">
      <pivotArea field="0" dataOnly="0" labelOnly="1" grandRow="1" outline="0" axis="axisRow" fieldPosition="0">
        <references count="1">
          <reference field="4294967294" count="1" selected="0">
            <x v="15"/>
          </reference>
        </references>
      </pivotArea>
    </format>
    <format dxfId="1018">
      <pivotArea field="0" dataOnly="0" labelOnly="1" grandRow="1" outline="0" axis="axisRow" fieldPosition="0">
        <references count="1">
          <reference field="4294967294" count="1" selected="0">
            <x v="16"/>
          </reference>
        </references>
      </pivotArea>
    </format>
    <format dxfId="1017">
      <pivotArea field="0" dataOnly="0" labelOnly="1" grandRow="1" outline="0" axis="axisRow" fieldPosition="0">
        <references count="1">
          <reference field="4294967294" count="1" selected="0">
            <x v="17"/>
          </reference>
        </references>
      </pivotArea>
    </format>
    <format dxfId="1016">
      <pivotArea field="0" dataOnly="0" labelOnly="1" grandRow="1" outline="0" axis="axisRow" fieldPosition="0">
        <references count="1">
          <reference field="4294967294" count="1" selected="0">
            <x v="18"/>
          </reference>
        </references>
      </pivotArea>
    </format>
    <format dxfId="1015">
      <pivotArea field="0" dataOnly="0" labelOnly="1" grandRow="1" outline="0" axis="axisRow" fieldPosition="0">
        <references count="1">
          <reference field="4294967294" count="1" selected="0">
            <x v="19"/>
          </reference>
        </references>
      </pivotArea>
    </format>
    <format dxfId="1014">
      <pivotArea field="0" dataOnly="0" labelOnly="1" grandRow="1" outline="0" axis="axisRow" fieldPosition="0">
        <references count="1">
          <reference field="4294967294" count="1" selected="0">
            <x v="20"/>
          </reference>
        </references>
      </pivotArea>
    </format>
    <format dxfId="1013">
      <pivotArea field="0" dataOnly="0" labelOnly="1" grandRow="1" outline="0" axis="axisRow" fieldPosition="0">
        <references count="1">
          <reference field="4294967294" count="1" selected="0">
            <x v="21"/>
          </reference>
        </references>
      </pivotArea>
    </format>
    <format dxfId="1012">
      <pivotArea field="0" dataOnly="0" labelOnly="1" grandRow="1" outline="0" axis="axisRow" fieldPosition="0">
        <references count="1">
          <reference field="4294967294" count="1" selected="0">
            <x v="22"/>
          </reference>
        </references>
      </pivotArea>
    </format>
    <format dxfId="1011">
      <pivotArea field="0" dataOnly="0" labelOnly="1" grandRow="1" outline="0" axis="axisRow" fieldPosition="0">
        <references count="1">
          <reference field="4294967294" count="1" selected="0">
            <x v="23"/>
          </reference>
        </references>
      </pivotArea>
    </format>
    <format dxfId="1010">
      <pivotArea field="0" dataOnly="0" labelOnly="1" grandRow="1" outline="0" axis="axisRow" fieldPosition="0">
        <references count="1">
          <reference field="4294967294" count="1" selected="0">
            <x v="24"/>
          </reference>
        </references>
      </pivotArea>
    </format>
    <format dxfId="1009">
      <pivotArea field="0" dataOnly="0" labelOnly="1" grandRow="1" outline="0" axis="axisRow" fieldPosition="0">
        <references count="1">
          <reference field="4294967294" count="1" selected="0">
            <x v="25"/>
          </reference>
        </references>
      </pivotArea>
    </format>
    <format dxfId="1008">
      <pivotArea field="0" dataOnly="0" labelOnly="1" grandRow="1" outline="0" axis="axisRow" fieldPosition="0">
        <references count="1">
          <reference field="4294967294" count="1" selected="0">
            <x v="26"/>
          </reference>
        </references>
      </pivotArea>
    </format>
    <format dxfId="1007">
      <pivotArea field="0" dataOnly="0" labelOnly="1" grandRow="1" outline="0" axis="axisRow" fieldPosition="0">
        <references count="1">
          <reference field="4294967294" count="1" selected="0">
            <x v="27"/>
          </reference>
        </references>
      </pivotArea>
    </format>
    <format dxfId="1006">
      <pivotArea field="0" dataOnly="0" labelOnly="1" grandRow="1" outline="0" axis="axisRow" fieldPosition="0">
        <references count="1">
          <reference field="4294967294" count="1" selected="0">
            <x v="28"/>
          </reference>
        </references>
      </pivotArea>
    </format>
    <format dxfId="1005">
      <pivotArea field="0" dataOnly="0" labelOnly="1" grandRow="1" outline="0" axis="axisRow" fieldPosition="0">
        <references count="1">
          <reference field="4294967294" count="1" selected="0">
            <x v="29"/>
          </reference>
        </references>
      </pivotArea>
    </format>
    <format dxfId="1004">
      <pivotArea field="0" dataOnly="0" labelOnly="1" grandRow="1" outline="0" axis="axisRow" fieldPosition="0">
        <references count="1">
          <reference field="4294967294" count="1" selected="0">
            <x v="30"/>
          </reference>
        </references>
      </pivotArea>
    </format>
    <format dxfId="1003">
      <pivotArea field="0" dataOnly="0" labelOnly="1" grandRow="1" outline="0" axis="axisRow" fieldPosition="0">
        <references count="1">
          <reference field="4294967294" count="1" selected="0">
            <x v="31"/>
          </reference>
        </references>
      </pivotArea>
    </format>
    <format dxfId="1002">
      <pivotArea field="0" dataOnly="0" labelOnly="1" grandRow="1" outline="0" axis="axisRow" fieldPosition="0">
        <references count="1">
          <reference field="4294967294" count="1" selected="0">
            <x v="32"/>
          </reference>
        </references>
      </pivotArea>
    </format>
    <format dxfId="1001">
      <pivotArea field="0" dataOnly="0" labelOnly="1" grandRow="1" outline="0" axis="axisRow" fieldPosition="0">
        <references count="1">
          <reference field="4294967294" count="1" selected="0">
            <x v="33"/>
          </reference>
        </references>
      </pivotArea>
    </format>
    <format dxfId="1000">
      <pivotArea field="0" dataOnly="0" labelOnly="1" grandRow="1" outline="0" axis="axisRow" fieldPosition="0">
        <references count="1">
          <reference field="4294967294" count="1" selected="0">
            <x v="34"/>
          </reference>
        </references>
      </pivotArea>
    </format>
    <format dxfId="999">
      <pivotArea field="0" dataOnly="0" labelOnly="1" grandRow="1" outline="0" axis="axisRow" fieldPosition="0">
        <references count="1">
          <reference field="4294967294" count="1" selected="0">
            <x v="35"/>
          </reference>
        </references>
      </pivotArea>
    </format>
    <format dxfId="998">
      <pivotArea field="0" dataOnly="0" labelOnly="1" grandRow="1" outline="0" axis="axisRow" fieldPosition="0">
        <references count="1">
          <reference field="4294967294" count="1" selected="0">
            <x v="0"/>
          </reference>
        </references>
      </pivotArea>
    </format>
    <format dxfId="997">
      <pivotArea field="0" dataOnly="0" labelOnly="1" grandRow="1" outline="0" axis="axisRow" fieldPosition="0">
        <references count="1">
          <reference field="4294967294" count="1" selected="0">
            <x v="1"/>
          </reference>
        </references>
      </pivotArea>
    </format>
    <format dxfId="996">
      <pivotArea field="0" dataOnly="0" labelOnly="1" grandRow="1" outline="0" axis="axisRow" fieldPosition="0">
        <references count="1">
          <reference field="4294967294" count="1" selected="0">
            <x v="2"/>
          </reference>
        </references>
      </pivotArea>
    </format>
    <format dxfId="995">
      <pivotArea field="0" dataOnly="0" labelOnly="1" grandRow="1" outline="0" axis="axisRow" fieldPosition="0">
        <references count="1">
          <reference field="4294967294" count="1" selected="0">
            <x v="3"/>
          </reference>
        </references>
      </pivotArea>
    </format>
    <format dxfId="994">
      <pivotArea field="0" dataOnly="0" labelOnly="1" grandRow="1" outline="0" axis="axisRow" fieldPosition="0">
        <references count="1">
          <reference field="4294967294" count="1" selected="0">
            <x v="4"/>
          </reference>
        </references>
      </pivotArea>
    </format>
    <format dxfId="993">
      <pivotArea field="0" dataOnly="0" labelOnly="1" grandRow="1" outline="0" axis="axisRow" fieldPosition="0">
        <references count="1">
          <reference field="4294967294" count="1" selected="0">
            <x v="5"/>
          </reference>
        </references>
      </pivotArea>
    </format>
    <format dxfId="992">
      <pivotArea field="0" dataOnly="0" labelOnly="1" grandRow="1" outline="0" axis="axisRow" fieldPosition="0">
        <references count="1">
          <reference field="4294967294" count="1" selected="0">
            <x v="6"/>
          </reference>
        </references>
      </pivotArea>
    </format>
    <format dxfId="991">
      <pivotArea field="0" dataOnly="0" labelOnly="1" grandRow="1" outline="0" axis="axisRow" fieldPosition="0">
        <references count="1">
          <reference field="4294967294" count="1" selected="0">
            <x v="7"/>
          </reference>
        </references>
      </pivotArea>
    </format>
    <format dxfId="990">
      <pivotArea field="0" dataOnly="0" labelOnly="1" grandRow="1" outline="0" axis="axisRow" fieldPosition="0">
        <references count="1">
          <reference field="4294967294" count="1" selected="0">
            <x v="8"/>
          </reference>
        </references>
      </pivotArea>
    </format>
    <format dxfId="989">
      <pivotArea field="0" dataOnly="0" labelOnly="1" grandRow="1" outline="0" axis="axisRow" fieldPosition="0">
        <references count="1">
          <reference field="4294967294" count="1" selected="0">
            <x v="9"/>
          </reference>
        </references>
      </pivotArea>
    </format>
    <format dxfId="988">
      <pivotArea field="0" dataOnly="0" labelOnly="1" grandRow="1" outline="0" axis="axisRow" fieldPosition="0">
        <references count="1">
          <reference field="4294967294" count="1" selected="0">
            <x v="10"/>
          </reference>
        </references>
      </pivotArea>
    </format>
    <format dxfId="987">
      <pivotArea field="0" dataOnly="0" labelOnly="1" grandRow="1" outline="0" axis="axisRow" fieldPosition="0">
        <references count="1">
          <reference field="4294967294" count="1" selected="0">
            <x v="11"/>
          </reference>
        </references>
      </pivotArea>
    </format>
    <format dxfId="986">
      <pivotArea field="0" dataOnly="0" labelOnly="1" grandRow="1" outline="0" axis="axisRow" fieldPosition="0">
        <references count="1">
          <reference field="4294967294" count="1" selected="0">
            <x v="12"/>
          </reference>
        </references>
      </pivotArea>
    </format>
    <format dxfId="985">
      <pivotArea field="0" dataOnly="0" labelOnly="1" grandRow="1" outline="0" axis="axisRow" fieldPosition="0">
        <references count="1">
          <reference field="4294967294" count="1" selected="0">
            <x v="13"/>
          </reference>
        </references>
      </pivotArea>
    </format>
    <format dxfId="984">
      <pivotArea field="0" dataOnly="0" labelOnly="1" grandRow="1" outline="0" axis="axisRow" fieldPosition="0">
        <references count="1">
          <reference field="4294967294" count="1" selected="0">
            <x v="14"/>
          </reference>
        </references>
      </pivotArea>
    </format>
    <format dxfId="983">
      <pivotArea field="0" dataOnly="0" labelOnly="1" grandRow="1" outline="0" axis="axisRow" fieldPosition="0">
        <references count="1">
          <reference field="4294967294" count="1" selected="0">
            <x v="15"/>
          </reference>
        </references>
      </pivotArea>
    </format>
    <format dxfId="982">
      <pivotArea field="0" dataOnly="0" labelOnly="1" grandRow="1" outline="0" axis="axisRow" fieldPosition="0">
        <references count="1">
          <reference field="4294967294" count="1" selected="0">
            <x v="16"/>
          </reference>
        </references>
      </pivotArea>
    </format>
    <format dxfId="981">
      <pivotArea field="0" dataOnly="0" labelOnly="1" grandRow="1" outline="0" axis="axisRow" fieldPosition="0">
        <references count="1">
          <reference field="4294967294" count="1" selected="0">
            <x v="17"/>
          </reference>
        </references>
      </pivotArea>
    </format>
    <format dxfId="980">
      <pivotArea field="0" dataOnly="0" labelOnly="1" grandRow="1" outline="0" axis="axisRow" fieldPosition="0">
        <references count="1">
          <reference field="4294967294" count="1" selected="0">
            <x v="18"/>
          </reference>
        </references>
      </pivotArea>
    </format>
    <format dxfId="979">
      <pivotArea field="0" dataOnly="0" labelOnly="1" grandRow="1" outline="0" axis="axisRow" fieldPosition="0">
        <references count="1">
          <reference field="4294967294" count="1" selected="0">
            <x v="19"/>
          </reference>
        </references>
      </pivotArea>
    </format>
    <format dxfId="978">
      <pivotArea field="0" dataOnly="0" labelOnly="1" grandRow="1" outline="0" axis="axisRow" fieldPosition="0">
        <references count="1">
          <reference field="4294967294" count="1" selected="0">
            <x v="20"/>
          </reference>
        </references>
      </pivotArea>
    </format>
    <format dxfId="977">
      <pivotArea field="0" dataOnly="0" labelOnly="1" grandRow="1" outline="0" axis="axisRow" fieldPosition="0">
        <references count="1">
          <reference field="4294967294" count="1" selected="0">
            <x v="21"/>
          </reference>
        </references>
      </pivotArea>
    </format>
    <format dxfId="976">
      <pivotArea field="0" dataOnly="0" labelOnly="1" grandRow="1" outline="0" axis="axisRow" fieldPosition="0">
        <references count="1">
          <reference field="4294967294" count="1" selected="0">
            <x v="22"/>
          </reference>
        </references>
      </pivotArea>
    </format>
    <format dxfId="975">
      <pivotArea field="0" dataOnly="0" labelOnly="1" grandRow="1" outline="0" axis="axisRow" fieldPosition="0">
        <references count="1">
          <reference field="4294967294" count="1" selected="0">
            <x v="23"/>
          </reference>
        </references>
      </pivotArea>
    </format>
    <format dxfId="974">
      <pivotArea field="0" dataOnly="0" labelOnly="1" grandRow="1" outline="0" axis="axisRow" fieldPosition="0">
        <references count="1">
          <reference field="4294967294" count="1" selected="0">
            <x v="24"/>
          </reference>
        </references>
      </pivotArea>
    </format>
    <format dxfId="973">
      <pivotArea field="0" dataOnly="0" labelOnly="1" grandRow="1" outline="0" axis="axisRow" fieldPosition="0">
        <references count="1">
          <reference field="4294967294" count="1" selected="0">
            <x v="25"/>
          </reference>
        </references>
      </pivotArea>
    </format>
    <format dxfId="972">
      <pivotArea field="0" dataOnly="0" labelOnly="1" grandRow="1" outline="0" axis="axisRow" fieldPosition="0">
        <references count="1">
          <reference field="4294967294" count="1" selected="0">
            <x v="26"/>
          </reference>
        </references>
      </pivotArea>
    </format>
    <format dxfId="971">
      <pivotArea field="0" dataOnly="0" labelOnly="1" grandRow="1" outline="0" axis="axisRow" fieldPosition="0">
        <references count="1">
          <reference field="4294967294" count="1" selected="0">
            <x v="27"/>
          </reference>
        </references>
      </pivotArea>
    </format>
    <format dxfId="970">
      <pivotArea field="0" dataOnly="0" labelOnly="1" grandRow="1" outline="0" axis="axisRow" fieldPosition="0">
        <references count="1">
          <reference field="4294967294" count="1" selected="0">
            <x v="28"/>
          </reference>
        </references>
      </pivotArea>
    </format>
    <format dxfId="969">
      <pivotArea field="0" dataOnly="0" labelOnly="1" grandRow="1" outline="0" axis="axisRow" fieldPosition="0">
        <references count="1">
          <reference field="4294967294" count="1" selected="0">
            <x v="29"/>
          </reference>
        </references>
      </pivotArea>
    </format>
    <format dxfId="968">
      <pivotArea field="0" dataOnly="0" labelOnly="1" grandRow="1" outline="0" axis="axisRow" fieldPosition="0">
        <references count="1">
          <reference field="4294967294" count="1" selected="0">
            <x v="30"/>
          </reference>
        </references>
      </pivotArea>
    </format>
    <format dxfId="967">
      <pivotArea field="0" dataOnly="0" labelOnly="1" grandRow="1" outline="0" axis="axisRow" fieldPosition="0">
        <references count="1">
          <reference field="4294967294" count="1" selected="0">
            <x v="31"/>
          </reference>
        </references>
      </pivotArea>
    </format>
    <format dxfId="966">
      <pivotArea field="0" dataOnly="0" labelOnly="1" grandRow="1" outline="0" axis="axisRow" fieldPosition="0">
        <references count="1">
          <reference field="4294967294" count="1" selected="0">
            <x v="32"/>
          </reference>
        </references>
      </pivotArea>
    </format>
    <format dxfId="965">
      <pivotArea field="0" dataOnly="0" labelOnly="1" grandRow="1" outline="0" axis="axisRow" fieldPosition="0">
        <references count="1">
          <reference field="4294967294" count="1" selected="0">
            <x v="33"/>
          </reference>
        </references>
      </pivotArea>
    </format>
    <format dxfId="964">
      <pivotArea field="0" dataOnly="0" labelOnly="1" grandRow="1" outline="0" axis="axisRow" fieldPosition="0">
        <references count="1">
          <reference field="4294967294" count="1" selected="0">
            <x v="34"/>
          </reference>
        </references>
      </pivotArea>
    </format>
    <format dxfId="963">
      <pivotArea field="0" dataOnly="0" labelOnly="1" grandRow="1" outline="0" axis="axisRow" fieldPosition="0">
        <references count="1">
          <reference field="4294967294" count="1" selected="0">
            <x v="35"/>
          </reference>
        </references>
      </pivotArea>
    </format>
    <format dxfId="962">
      <pivotArea field="0" dataOnly="0" labelOnly="1" grandRow="1" outline="0" axis="axisRow" fieldPosition="0">
        <references count="1">
          <reference field="4294967294" count="1" selected="0">
            <x v="0"/>
          </reference>
        </references>
      </pivotArea>
    </format>
    <format dxfId="961">
      <pivotArea field="0" dataOnly="0" labelOnly="1" grandRow="1" outline="0" axis="axisRow" fieldPosition="0">
        <references count="1">
          <reference field="4294967294" count="1" selected="0">
            <x v="1"/>
          </reference>
        </references>
      </pivotArea>
    </format>
    <format dxfId="960">
      <pivotArea field="0" dataOnly="0" labelOnly="1" grandRow="1" outline="0" axis="axisRow" fieldPosition="0">
        <references count="1">
          <reference field="4294967294" count="1" selected="0">
            <x v="2"/>
          </reference>
        </references>
      </pivotArea>
    </format>
    <format dxfId="959">
      <pivotArea field="0" dataOnly="0" labelOnly="1" grandRow="1" outline="0" axis="axisRow" fieldPosition="0">
        <references count="1">
          <reference field="4294967294" count="1" selected="0">
            <x v="3"/>
          </reference>
        </references>
      </pivotArea>
    </format>
    <format dxfId="958">
      <pivotArea field="0" dataOnly="0" labelOnly="1" grandRow="1" outline="0" axis="axisRow" fieldPosition="0">
        <references count="1">
          <reference field="4294967294" count="1" selected="0">
            <x v="4"/>
          </reference>
        </references>
      </pivotArea>
    </format>
    <format dxfId="957">
      <pivotArea field="0" dataOnly="0" labelOnly="1" grandRow="1" outline="0" axis="axisRow" fieldPosition="0">
        <references count="1">
          <reference field="4294967294" count="1" selected="0">
            <x v="5"/>
          </reference>
        </references>
      </pivotArea>
    </format>
    <format dxfId="956">
      <pivotArea field="0" dataOnly="0" labelOnly="1" grandRow="1" outline="0" axis="axisRow" fieldPosition="0">
        <references count="1">
          <reference field="4294967294" count="1" selected="0">
            <x v="6"/>
          </reference>
        </references>
      </pivotArea>
    </format>
    <format dxfId="955">
      <pivotArea field="0" dataOnly="0" labelOnly="1" grandRow="1" outline="0" axis="axisRow" fieldPosition="0">
        <references count="1">
          <reference field="4294967294" count="1" selected="0">
            <x v="7"/>
          </reference>
        </references>
      </pivotArea>
    </format>
    <format dxfId="954">
      <pivotArea field="0" dataOnly="0" labelOnly="1" grandRow="1" outline="0" axis="axisRow" fieldPosition="0">
        <references count="1">
          <reference field="4294967294" count="1" selected="0">
            <x v="8"/>
          </reference>
        </references>
      </pivotArea>
    </format>
    <format dxfId="953">
      <pivotArea field="0" dataOnly="0" labelOnly="1" grandRow="1" outline="0" axis="axisRow" fieldPosition="0">
        <references count="1">
          <reference field="4294967294" count="1" selected="0">
            <x v="9"/>
          </reference>
        </references>
      </pivotArea>
    </format>
    <format dxfId="952">
      <pivotArea field="0" dataOnly="0" labelOnly="1" grandRow="1" outline="0" axis="axisRow" fieldPosition="0">
        <references count="1">
          <reference field="4294967294" count="1" selected="0">
            <x v="10"/>
          </reference>
        </references>
      </pivotArea>
    </format>
    <format dxfId="951">
      <pivotArea field="0" dataOnly="0" labelOnly="1" grandRow="1" outline="0" axis="axisRow" fieldPosition="0">
        <references count="1">
          <reference field="4294967294" count="1" selected="0">
            <x v="11"/>
          </reference>
        </references>
      </pivotArea>
    </format>
    <format dxfId="950">
      <pivotArea field="0" dataOnly="0" labelOnly="1" grandRow="1" outline="0" axis="axisRow" fieldPosition="0">
        <references count="1">
          <reference field="4294967294" count="1" selected="0">
            <x v="12"/>
          </reference>
        </references>
      </pivotArea>
    </format>
    <format dxfId="949">
      <pivotArea field="0" dataOnly="0" labelOnly="1" grandRow="1" outline="0" axis="axisRow" fieldPosition="0">
        <references count="1">
          <reference field="4294967294" count="1" selected="0">
            <x v="13"/>
          </reference>
        </references>
      </pivotArea>
    </format>
    <format dxfId="948">
      <pivotArea field="0" dataOnly="0" labelOnly="1" grandRow="1" outline="0" axis="axisRow" fieldPosition="0">
        <references count="1">
          <reference field="4294967294" count="1" selected="0">
            <x v="14"/>
          </reference>
        </references>
      </pivotArea>
    </format>
    <format dxfId="947">
      <pivotArea field="0" dataOnly="0" labelOnly="1" grandRow="1" outline="0" axis="axisRow" fieldPosition="0">
        <references count="1">
          <reference field="4294967294" count="1" selected="0">
            <x v="15"/>
          </reference>
        </references>
      </pivotArea>
    </format>
    <format dxfId="946">
      <pivotArea field="0" dataOnly="0" labelOnly="1" grandRow="1" outline="0" axis="axisRow" fieldPosition="0">
        <references count="1">
          <reference field="4294967294" count="1" selected="0">
            <x v="16"/>
          </reference>
        </references>
      </pivotArea>
    </format>
    <format dxfId="945">
      <pivotArea field="0" dataOnly="0" labelOnly="1" grandRow="1" outline="0" axis="axisRow" fieldPosition="0">
        <references count="1">
          <reference field="4294967294" count="1" selected="0">
            <x v="17"/>
          </reference>
        </references>
      </pivotArea>
    </format>
    <format dxfId="944">
      <pivotArea field="0" dataOnly="0" labelOnly="1" grandRow="1" outline="0" axis="axisRow" fieldPosition="0">
        <references count="1">
          <reference field="4294967294" count="1" selected="0">
            <x v="18"/>
          </reference>
        </references>
      </pivotArea>
    </format>
    <format dxfId="943">
      <pivotArea field="0" dataOnly="0" labelOnly="1" grandRow="1" outline="0" axis="axisRow" fieldPosition="0">
        <references count="1">
          <reference field="4294967294" count="1" selected="0">
            <x v="19"/>
          </reference>
        </references>
      </pivotArea>
    </format>
    <format dxfId="942">
      <pivotArea field="0" dataOnly="0" labelOnly="1" grandRow="1" outline="0" axis="axisRow" fieldPosition="0">
        <references count="1">
          <reference field="4294967294" count="1" selected="0">
            <x v="20"/>
          </reference>
        </references>
      </pivotArea>
    </format>
    <format dxfId="941">
      <pivotArea field="0" dataOnly="0" labelOnly="1" grandRow="1" outline="0" axis="axisRow" fieldPosition="0">
        <references count="1">
          <reference field="4294967294" count="1" selected="0">
            <x v="21"/>
          </reference>
        </references>
      </pivotArea>
    </format>
    <format dxfId="940">
      <pivotArea field="0" dataOnly="0" labelOnly="1" grandRow="1" outline="0" axis="axisRow" fieldPosition="0">
        <references count="1">
          <reference field="4294967294" count="1" selected="0">
            <x v="22"/>
          </reference>
        </references>
      </pivotArea>
    </format>
    <format dxfId="939">
      <pivotArea field="0" dataOnly="0" labelOnly="1" grandRow="1" outline="0" axis="axisRow" fieldPosition="0">
        <references count="1">
          <reference field="4294967294" count="1" selected="0">
            <x v="23"/>
          </reference>
        </references>
      </pivotArea>
    </format>
    <format dxfId="938">
      <pivotArea field="0" dataOnly="0" labelOnly="1" grandRow="1" outline="0" axis="axisRow" fieldPosition="0">
        <references count="1">
          <reference field="4294967294" count="1" selected="0">
            <x v="24"/>
          </reference>
        </references>
      </pivotArea>
    </format>
    <format dxfId="937">
      <pivotArea field="0" dataOnly="0" labelOnly="1" grandRow="1" outline="0" axis="axisRow" fieldPosition="0">
        <references count="1">
          <reference field="4294967294" count="1" selected="0">
            <x v="25"/>
          </reference>
        </references>
      </pivotArea>
    </format>
    <format dxfId="936">
      <pivotArea field="0" dataOnly="0" labelOnly="1" grandRow="1" outline="0" axis="axisRow" fieldPosition="0">
        <references count="1">
          <reference field="4294967294" count="1" selected="0">
            <x v="26"/>
          </reference>
        </references>
      </pivotArea>
    </format>
    <format dxfId="935">
      <pivotArea field="0" dataOnly="0" labelOnly="1" grandRow="1" outline="0" axis="axisRow" fieldPosition="0">
        <references count="1">
          <reference field="4294967294" count="1" selected="0">
            <x v="27"/>
          </reference>
        </references>
      </pivotArea>
    </format>
    <format dxfId="934">
      <pivotArea field="0" dataOnly="0" labelOnly="1" grandRow="1" outline="0" axis="axisRow" fieldPosition="0">
        <references count="1">
          <reference field="4294967294" count="1" selected="0">
            <x v="28"/>
          </reference>
        </references>
      </pivotArea>
    </format>
    <format dxfId="933">
      <pivotArea field="0" dataOnly="0" labelOnly="1" grandRow="1" outline="0" axis="axisRow" fieldPosition="0">
        <references count="1">
          <reference field="4294967294" count="1" selected="0">
            <x v="29"/>
          </reference>
        </references>
      </pivotArea>
    </format>
    <format dxfId="932">
      <pivotArea field="0" dataOnly="0" labelOnly="1" grandRow="1" outline="0" axis="axisRow" fieldPosition="0">
        <references count="1">
          <reference field="4294967294" count="1" selected="0">
            <x v="30"/>
          </reference>
        </references>
      </pivotArea>
    </format>
    <format dxfId="931">
      <pivotArea field="0" dataOnly="0" labelOnly="1" grandRow="1" outline="0" axis="axisRow" fieldPosition="0">
        <references count="1">
          <reference field="4294967294" count="1" selected="0">
            <x v="31"/>
          </reference>
        </references>
      </pivotArea>
    </format>
    <format dxfId="930">
      <pivotArea field="0" dataOnly="0" labelOnly="1" grandRow="1" outline="0" axis="axisRow" fieldPosition="0">
        <references count="1">
          <reference field="4294967294" count="1" selected="0">
            <x v="32"/>
          </reference>
        </references>
      </pivotArea>
    </format>
    <format dxfId="929">
      <pivotArea field="0" dataOnly="0" labelOnly="1" grandRow="1" outline="0" axis="axisRow" fieldPosition="0">
        <references count="1">
          <reference field="4294967294" count="1" selected="0">
            <x v="33"/>
          </reference>
        </references>
      </pivotArea>
    </format>
    <format dxfId="928">
      <pivotArea field="0" dataOnly="0" labelOnly="1" grandRow="1" outline="0" axis="axisRow" fieldPosition="0">
        <references count="1">
          <reference field="4294967294" count="1" selected="0">
            <x v="34"/>
          </reference>
        </references>
      </pivotArea>
    </format>
    <format dxfId="927">
      <pivotArea field="0" dataOnly="0" labelOnly="1" grandRow="1" outline="0" axis="axisRow" fieldPosition="0">
        <references count="1">
          <reference field="4294967294" count="1" selected="0">
            <x v="35"/>
          </reference>
        </references>
      </pivotArea>
    </format>
    <format dxfId="926">
      <pivotArea field="0" dataOnly="0" labelOnly="1" grandRow="1" outline="0" axis="axisRow" fieldPosition="0">
        <references count="1">
          <reference field="4294967294" count="1" selected="0">
            <x v="0"/>
          </reference>
        </references>
      </pivotArea>
    </format>
    <format dxfId="925">
      <pivotArea field="0" dataOnly="0" labelOnly="1" grandRow="1" outline="0" axis="axisRow" fieldPosition="0">
        <references count="1">
          <reference field="4294967294" count="1" selected="0">
            <x v="1"/>
          </reference>
        </references>
      </pivotArea>
    </format>
    <format dxfId="924">
      <pivotArea field="0" dataOnly="0" labelOnly="1" grandRow="1" outline="0" axis="axisRow" fieldPosition="0">
        <references count="1">
          <reference field="4294967294" count="1" selected="0">
            <x v="2"/>
          </reference>
        </references>
      </pivotArea>
    </format>
    <format dxfId="923">
      <pivotArea field="0" dataOnly="0" labelOnly="1" grandRow="1" outline="0" axis="axisRow" fieldPosition="0">
        <references count="1">
          <reference field="4294967294" count="1" selected="0">
            <x v="3"/>
          </reference>
        </references>
      </pivotArea>
    </format>
    <format dxfId="922">
      <pivotArea field="0" dataOnly="0" labelOnly="1" grandRow="1" outline="0" axis="axisRow" fieldPosition="0">
        <references count="1">
          <reference field="4294967294" count="1" selected="0">
            <x v="4"/>
          </reference>
        </references>
      </pivotArea>
    </format>
    <format dxfId="921">
      <pivotArea field="0" dataOnly="0" labelOnly="1" grandRow="1" outline="0" axis="axisRow" fieldPosition="0">
        <references count="1">
          <reference field="4294967294" count="1" selected="0">
            <x v="5"/>
          </reference>
        </references>
      </pivotArea>
    </format>
    <format dxfId="920">
      <pivotArea field="0" dataOnly="0" labelOnly="1" grandRow="1" outline="0" axis="axisRow" fieldPosition="0">
        <references count="1">
          <reference field="4294967294" count="1" selected="0">
            <x v="6"/>
          </reference>
        </references>
      </pivotArea>
    </format>
    <format dxfId="919">
      <pivotArea field="0" dataOnly="0" labelOnly="1" grandRow="1" outline="0" axis="axisRow" fieldPosition="0">
        <references count="1">
          <reference field="4294967294" count="1" selected="0">
            <x v="7"/>
          </reference>
        </references>
      </pivotArea>
    </format>
    <format dxfId="918">
      <pivotArea field="0" dataOnly="0" labelOnly="1" grandRow="1" outline="0" axis="axisRow" fieldPosition="0">
        <references count="1">
          <reference field="4294967294" count="1" selected="0">
            <x v="8"/>
          </reference>
        </references>
      </pivotArea>
    </format>
    <format dxfId="917">
      <pivotArea field="0" dataOnly="0" labelOnly="1" grandRow="1" outline="0" axis="axisRow" fieldPosition="0">
        <references count="1">
          <reference field="4294967294" count="1" selected="0">
            <x v="9"/>
          </reference>
        </references>
      </pivotArea>
    </format>
    <format dxfId="916">
      <pivotArea field="0" dataOnly="0" labelOnly="1" grandRow="1" outline="0" axis="axisRow" fieldPosition="0">
        <references count="1">
          <reference field="4294967294" count="1" selected="0">
            <x v="10"/>
          </reference>
        </references>
      </pivotArea>
    </format>
    <format dxfId="915">
      <pivotArea field="0" dataOnly="0" labelOnly="1" grandRow="1" outline="0" axis="axisRow" fieldPosition="0">
        <references count="1">
          <reference field="4294967294" count="1" selected="0">
            <x v="11"/>
          </reference>
        </references>
      </pivotArea>
    </format>
    <format dxfId="914">
      <pivotArea field="0" dataOnly="0" labelOnly="1" grandRow="1" outline="0" axis="axisRow" fieldPosition="0">
        <references count="1">
          <reference field="4294967294" count="1" selected="0">
            <x v="12"/>
          </reference>
        </references>
      </pivotArea>
    </format>
    <format dxfId="913">
      <pivotArea field="0" dataOnly="0" labelOnly="1" grandRow="1" outline="0" axis="axisRow" fieldPosition="0">
        <references count="1">
          <reference field="4294967294" count="1" selected="0">
            <x v="13"/>
          </reference>
        </references>
      </pivotArea>
    </format>
    <format dxfId="912">
      <pivotArea field="0" dataOnly="0" labelOnly="1" grandRow="1" outline="0" axis="axisRow" fieldPosition="0">
        <references count="1">
          <reference field="4294967294" count="1" selected="0">
            <x v="14"/>
          </reference>
        </references>
      </pivotArea>
    </format>
    <format dxfId="911">
      <pivotArea field="0" dataOnly="0" labelOnly="1" grandRow="1" outline="0" axis="axisRow" fieldPosition="0">
        <references count="1">
          <reference field="4294967294" count="1" selected="0">
            <x v="15"/>
          </reference>
        </references>
      </pivotArea>
    </format>
    <format dxfId="910">
      <pivotArea field="0" dataOnly="0" labelOnly="1" grandRow="1" outline="0" axis="axisRow" fieldPosition="0">
        <references count="1">
          <reference field="4294967294" count="1" selected="0">
            <x v="16"/>
          </reference>
        </references>
      </pivotArea>
    </format>
    <format dxfId="909">
      <pivotArea field="0" dataOnly="0" labelOnly="1" grandRow="1" outline="0" axis="axisRow" fieldPosition="0">
        <references count="1">
          <reference field="4294967294" count="1" selected="0">
            <x v="17"/>
          </reference>
        </references>
      </pivotArea>
    </format>
    <format dxfId="908">
      <pivotArea field="0" dataOnly="0" labelOnly="1" grandRow="1" outline="0" axis="axisRow" fieldPosition="0">
        <references count="1">
          <reference field="4294967294" count="1" selected="0">
            <x v="18"/>
          </reference>
        </references>
      </pivotArea>
    </format>
    <format dxfId="907">
      <pivotArea field="0" dataOnly="0" labelOnly="1" grandRow="1" outline="0" axis="axisRow" fieldPosition="0">
        <references count="1">
          <reference field="4294967294" count="1" selected="0">
            <x v="19"/>
          </reference>
        </references>
      </pivotArea>
    </format>
    <format dxfId="906">
      <pivotArea field="0" dataOnly="0" labelOnly="1" grandRow="1" outline="0" axis="axisRow" fieldPosition="0">
        <references count="1">
          <reference field="4294967294" count="1" selected="0">
            <x v="20"/>
          </reference>
        </references>
      </pivotArea>
    </format>
    <format dxfId="905">
      <pivotArea field="0" dataOnly="0" labelOnly="1" grandRow="1" outline="0" axis="axisRow" fieldPosition="0">
        <references count="1">
          <reference field="4294967294" count="1" selected="0">
            <x v="21"/>
          </reference>
        </references>
      </pivotArea>
    </format>
    <format dxfId="904">
      <pivotArea field="0" dataOnly="0" labelOnly="1" grandRow="1" outline="0" axis="axisRow" fieldPosition="0">
        <references count="1">
          <reference field="4294967294" count="1" selected="0">
            <x v="22"/>
          </reference>
        </references>
      </pivotArea>
    </format>
    <format dxfId="903">
      <pivotArea field="0" dataOnly="0" labelOnly="1" grandRow="1" outline="0" axis="axisRow" fieldPosition="0">
        <references count="1">
          <reference field="4294967294" count="1" selected="0">
            <x v="23"/>
          </reference>
        </references>
      </pivotArea>
    </format>
    <format dxfId="902">
      <pivotArea field="0" dataOnly="0" labelOnly="1" grandRow="1" outline="0" axis="axisRow" fieldPosition="0">
        <references count="1">
          <reference field="4294967294" count="1" selected="0">
            <x v="24"/>
          </reference>
        </references>
      </pivotArea>
    </format>
    <format dxfId="901">
      <pivotArea field="0" dataOnly="0" labelOnly="1" grandRow="1" outline="0" axis="axisRow" fieldPosition="0">
        <references count="1">
          <reference field="4294967294" count="1" selected="0">
            <x v="25"/>
          </reference>
        </references>
      </pivotArea>
    </format>
    <format dxfId="900">
      <pivotArea field="0" dataOnly="0" labelOnly="1" grandRow="1" outline="0" axis="axisRow" fieldPosition="0">
        <references count="1">
          <reference field="4294967294" count="1" selected="0">
            <x v="26"/>
          </reference>
        </references>
      </pivotArea>
    </format>
    <format dxfId="899">
      <pivotArea field="0" dataOnly="0" labelOnly="1" grandRow="1" outline="0" axis="axisRow" fieldPosition="0">
        <references count="1">
          <reference field="4294967294" count="1" selected="0">
            <x v="27"/>
          </reference>
        </references>
      </pivotArea>
    </format>
    <format dxfId="898">
      <pivotArea field="0" dataOnly="0" labelOnly="1" grandRow="1" outline="0" axis="axisRow" fieldPosition="0">
        <references count="1">
          <reference field="4294967294" count="1" selected="0">
            <x v="28"/>
          </reference>
        </references>
      </pivotArea>
    </format>
    <format dxfId="897">
      <pivotArea field="0" dataOnly="0" labelOnly="1" grandRow="1" outline="0" axis="axisRow" fieldPosition="0">
        <references count="1">
          <reference field="4294967294" count="1" selected="0">
            <x v="29"/>
          </reference>
        </references>
      </pivotArea>
    </format>
    <format dxfId="896">
      <pivotArea field="0" dataOnly="0" labelOnly="1" grandRow="1" outline="0" axis="axisRow" fieldPosition="0">
        <references count="1">
          <reference field="4294967294" count="1" selected="0">
            <x v="30"/>
          </reference>
        </references>
      </pivotArea>
    </format>
    <format dxfId="895">
      <pivotArea field="0" dataOnly="0" labelOnly="1" grandRow="1" outline="0" axis="axisRow" fieldPosition="0">
        <references count="1">
          <reference field="4294967294" count="1" selected="0">
            <x v="31"/>
          </reference>
        </references>
      </pivotArea>
    </format>
    <format dxfId="894">
      <pivotArea field="0" dataOnly="0" labelOnly="1" grandRow="1" outline="0" axis="axisRow" fieldPosition="0">
        <references count="1">
          <reference field="4294967294" count="1" selected="0">
            <x v="32"/>
          </reference>
        </references>
      </pivotArea>
    </format>
    <format dxfId="893">
      <pivotArea field="0" dataOnly="0" labelOnly="1" grandRow="1" outline="0" axis="axisRow" fieldPosition="0">
        <references count="1">
          <reference field="4294967294" count="1" selected="0">
            <x v="33"/>
          </reference>
        </references>
      </pivotArea>
    </format>
    <format dxfId="892">
      <pivotArea field="0" dataOnly="0" labelOnly="1" grandRow="1" outline="0" axis="axisRow" fieldPosition="0">
        <references count="1">
          <reference field="4294967294" count="1" selected="0">
            <x v="34"/>
          </reference>
        </references>
      </pivotArea>
    </format>
    <format dxfId="891">
      <pivotArea field="0" dataOnly="0" labelOnly="1" grandRow="1" outline="0" axis="axisRow" fieldPosition="0">
        <references count="1">
          <reference field="4294967294" count="1" selected="0">
            <x v="35"/>
          </reference>
        </references>
      </pivotArea>
    </format>
    <format dxfId="890">
      <pivotArea field="0" dataOnly="0" labelOnly="1" grandRow="1" outline="0" axis="axisRow" fieldPosition="0">
        <references count="1">
          <reference field="4294967294" count="1" selected="0">
            <x v="0"/>
          </reference>
        </references>
      </pivotArea>
    </format>
    <format dxfId="889">
      <pivotArea field="0" dataOnly="0" labelOnly="1" grandRow="1" outline="0" axis="axisRow" fieldPosition="0">
        <references count="1">
          <reference field="4294967294" count="1" selected="0">
            <x v="1"/>
          </reference>
        </references>
      </pivotArea>
    </format>
    <format dxfId="888">
      <pivotArea field="0" dataOnly="0" labelOnly="1" grandRow="1" outline="0" axis="axisRow" fieldPosition="0">
        <references count="1">
          <reference field="4294967294" count="1" selected="0">
            <x v="2"/>
          </reference>
        </references>
      </pivotArea>
    </format>
    <format dxfId="887">
      <pivotArea field="0" dataOnly="0" labelOnly="1" grandRow="1" outline="0" axis="axisRow" fieldPosition="0">
        <references count="1">
          <reference field="4294967294" count="1" selected="0">
            <x v="3"/>
          </reference>
        </references>
      </pivotArea>
    </format>
    <format dxfId="886">
      <pivotArea field="0" dataOnly="0" labelOnly="1" grandRow="1" outline="0" axis="axisRow" fieldPosition="0">
        <references count="1">
          <reference field="4294967294" count="1" selected="0">
            <x v="4"/>
          </reference>
        </references>
      </pivotArea>
    </format>
    <format dxfId="885">
      <pivotArea field="0" dataOnly="0" labelOnly="1" grandRow="1" outline="0" axis="axisRow" fieldPosition="0">
        <references count="1">
          <reference field="4294967294" count="1" selected="0">
            <x v="5"/>
          </reference>
        </references>
      </pivotArea>
    </format>
    <format dxfId="884">
      <pivotArea field="0" dataOnly="0" labelOnly="1" grandRow="1" outline="0" axis="axisRow" fieldPosition="0">
        <references count="1">
          <reference field="4294967294" count="1" selected="0">
            <x v="6"/>
          </reference>
        </references>
      </pivotArea>
    </format>
    <format dxfId="883">
      <pivotArea field="0" dataOnly="0" labelOnly="1" grandRow="1" outline="0" axis="axisRow" fieldPosition="0">
        <references count="1">
          <reference field="4294967294" count="1" selected="0">
            <x v="7"/>
          </reference>
        </references>
      </pivotArea>
    </format>
    <format dxfId="882">
      <pivotArea field="0" dataOnly="0" labelOnly="1" grandRow="1" outline="0" axis="axisRow" fieldPosition="0">
        <references count="1">
          <reference field="4294967294" count="1" selected="0">
            <x v="8"/>
          </reference>
        </references>
      </pivotArea>
    </format>
    <format dxfId="881">
      <pivotArea field="0" dataOnly="0" labelOnly="1" grandRow="1" outline="0" axis="axisRow" fieldPosition="0">
        <references count="1">
          <reference field="4294967294" count="1" selected="0">
            <x v="9"/>
          </reference>
        </references>
      </pivotArea>
    </format>
    <format dxfId="880">
      <pivotArea field="0" dataOnly="0" labelOnly="1" grandRow="1" outline="0" axis="axisRow" fieldPosition="0">
        <references count="1">
          <reference field="4294967294" count="1" selected="0">
            <x v="10"/>
          </reference>
        </references>
      </pivotArea>
    </format>
    <format dxfId="879">
      <pivotArea field="0" dataOnly="0" labelOnly="1" grandRow="1" outline="0" axis="axisRow" fieldPosition="0">
        <references count="1">
          <reference field="4294967294" count="1" selected="0">
            <x v="11"/>
          </reference>
        </references>
      </pivotArea>
    </format>
    <format dxfId="878">
      <pivotArea field="0" dataOnly="0" labelOnly="1" grandRow="1" outline="0" axis="axisRow" fieldPosition="0">
        <references count="1">
          <reference field="4294967294" count="1" selected="0">
            <x v="12"/>
          </reference>
        </references>
      </pivotArea>
    </format>
    <format dxfId="877">
      <pivotArea field="0" dataOnly="0" labelOnly="1" grandRow="1" outline="0" axis="axisRow" fieldPosition="0">
        <references count="1">
          <reference field="4294967294" count="1" selected="0">
            <x v="13"/>
          </reference>
        </references>
      </pivotArea>
    </format>
    <format dxfId="876">
      <pivotArea field="0" dataOnly="0" labelOnly="1" grandRow="1" outline="0" axis="axisRow" fieldPosition="0">
        <references count="1">
          <reference field="4294967294" count="1" selected="0">
            <x v="14"/>
          </reference>
        </references>
      </pivotArea>
    </format>
    <format dxfId="875">
      <pivotArea field="0" dataOnly="0" labelOnly="1" grandRow="1" outline="0" axis="axisRow" fieldPosition="0">
        <references count="1">
          <reference field="4294967294" count="1" selected="0">
            <x v="15"/>
          </reference>
        </references>
      </pivotArea>
    </format>
    <format dxfId="874">
      <pivotArea field="0" dataOnly="0" labelOnly="1" grandRow="1" outline="0" axis="axisRow" fieldPosition="0">
        <references count="1">
          <reference field="4294967294" count="1" selected="0">
            <x v="16"/>
          </reference>
        </references>
      </pivotArea>
    </format>
    <format dxfId="873">
      <pivotArea field="0" dataOnly="0" labelOnly="1" grandRow="1" outline="0" axis="axisRow" fieldPosition="0">
        <references count="1">
          <reference field="4294967294" count="1" selected="0">
            <x v="17"/>
          </reference>
        </references>
      </pivotArea>
    </format>
    <format dxfId="872">
      <pivotArea field="0" dataOnly="0" labelOnly="1" grandRow="1" outline="0" axis="axisRow" fieldPosition="0">
        <references count="1">
          <reference field="4294967294" count="1" selected="0">
            <x v="18"/>
          </reference>
        </references>
      </pivotArea>
    </format>
    <format dxfId="871">
      <pivotArea field="0" dataOnly="0" labelOnly="1" grandRow="1" outline="0" axis="axisRow" fieldPosition="0">
        <references count="1">
          <reference field="4294967294" count="1" selected="0">
            <x v="19"/>
          </reference>
        </references>
      </pivotArea>
    </format>
    <format dxfId="870">
      <pivotArea field="0" dataOnly="0" labelOnly="1" grandRow="1" outline="0" axis="axisRow" fieldPosition="0">
        <references count="1">
          <reference field="4294967294" count="1" selected="0">
            <x v="20"/>
          </reference>
        </references>
      </pivotArea>
    </format>
    <format dxfId="869">
      <pivotArea field="0" dataOnly="0" labelOnly="1" grandRow="1" outline="0" axis="axisRow" fieldPosition="0">
        <references count="1">
          <reference field="4294967294" count="1" selected="0">
            <x v="21"/>
          </reference>
        </references>
      </pivotArea>
    </format>
    <format dxfId="868">
      <pivotArea field="0" dataOnly="0" labelOnly="1" grandRow="1" outline="0" axis="axisRow" fieldPosition="0">
        <references count="1">
          <reference field="4294967294" count="1" selected="0">
            <x v="22"/>
          </reference>
        </references>
      </pivotArea>
    </format>
    <format dxfId="867">
      <pivotArea field="0" dataOnly="0" labelOnly="1" grandRow="1" outline="0" axis="axisRow" fieldPosition="0">
        <references count="1">
          <reference field="4294967294" count="1" selected="0">
            <x v="23"/>
          </reference>
        </references>
      </pivotArea>
    </format>
    <format dxfId="866">
      <pivotArea field="0" dataOnly="0" labelOnly="1" grandRow="1" outline="0" axis="axisRow" fieldPosition="0">
        <references count="1">
          <reference field="4294967294" count="1" selected="0">
            <x v="24"/>
          </reference>
        </references>
      </pivotArea>
    </format>
    <format dxfId="865">
      <pivotArea field="0" dataOnly="0" labelOnly="1" grandRow="1" outline="0" axis="axisRow" fieldPosition="0">
        <references count="1">
          <reference field="4294967294" count="1" selected="0">
            <x v="25"/>
          </reference>
        </references>
      </pivotArea>
    </format>
    <format dxfId="864">
      <pivotArea field="0" dataOnly="0" labelOnly="1" grandRow="1" outline="0" axis="axisRow" fieldPosition="0">
        <references count="1">
          <reference field="4294967294" count="1" selected="0">
            <x v="26"/>
          </reference>
        </references>
      </pivotArea>
    </format>
    <format dxfId="863">
      <pivotArea field="0" dataOnly="0" labelOnly="1" grandRow="1" outline="0" axis="axisRow" fieldPosition="0">
        <references count="1">
          <reference field="4294967294" count="1" selected="0">
            <x v="27"/>
          </reference>
        </references>
      </pivotArea>
    </format>
    <format dxfId="862">
      <pivotArea field="0" dataOnly="0" labelOnly="1" grandRow="1" outline="0" axis="axisRow" fieldPosition="0">
        <references count="1">
          <reference field="4294967294" count="1" selected="0">
            <x v="28"/>
          </reference>
        </references>
      </pivotArea>
    </format>
    <format dxfId="861">
      <pivotArea field="0" dataOnly="0" labelOnly="1" grandRow="1" outline="0" axis="axisRow" fieldPosition="0">
        <references count="1">
          <reference field="4294967294" count="1" selected="0">
            <x v="29"/>
          </reference>
        </references>
      </pivotArea>
    </format>
    <format dxfId="860">
      <pivotArea field="0" dataOnly="0" labelOnly="1" grandRow="1" outline="0" axis="axisRow" fieldPosition="0">
        <references count="1">
          <reference field="4294967294" count="1" selected="0">
            <x v="30"/>
          </reference>
        </references>
      </pivotArea>
    </format>
    <format dxfId="859">
      <pivotArea field="0" dataOnly="0" labelOnly="1" grandRow="1" outline="0" axis="axisRow" fieldPosition="0">
        <references count="1">
          <reference field="4294967294" count="1" selected="0">
            <x v="31"/>
          </reference>
        </references>
      </pivotArea>
    </format>
    <format dxfId="858">
      <pivotArea field="0" dataOnly="0" labelOnly="1" grandRow="1" outline="0" axis="axisRow" fieldPosition="0">
        <references count="1">
          <reference field="4294967294" count="1" selected="0">
            <x v="32"/>
          </reference>
        </references>
      </pivotArea>
    </format>
    <format dxfId="857">
      <pivotArea field="0" dataOnly="0" labelOnly="1" grandRow="1" outline="0" axis="axisRow" fieldPosition="0">
        <references count="1">
          <reference field="4294967294" count="1" selected="0">
            <x v="33"/>
          </reference>
        </references>
      </pivotArea>
    </format>
    <format dxfId="856">
      <pivotArea field="0" dataOnly="0" labelOnly="1" grandRow="1" outline="0" axis="axisRow" fieldPosition="0">
        <references count="1">
          <reference field="4294967294" count="1" selected="0">
            <x v="34"/>
          </reference>
        </references>
      </pivotArea>
    </format>
    <format dxfId="855">
      <pivotArea field="0" dataOnly="0" labelOnly="1" grandRow="1" outline="0" axis="axisRow" fieldPosition="0">
        <references count="1">
          <reference field="4294967294" count="1" selected="0">
            <x v="35"/>
          </reference>
        </references>
      </pivotArea>
    </format>
    <format dxfId="854">
      <pivotArea field="0" dataOnly="0" labelOnly="1" grandRow="1" outline="0" axis="axisRow" fieldPosition="0">
        <references count="1">
          <reference field="4294967294" count="1" selected="0">
            <x v="0"/>
          </reference>
        </references>
      </pivotArea>
    </format>
    <format dxfId="853">
      <pivotArea field="0" dataOnly="0" labelOnly="1" grandRow="1" outline="0" axis="axisRow" fieldPosition="0">
        <references count="1">
          <reference field="4294967294" count="1" selected="0">
            <x v="1"/>
          </reference>
        </references>
      </pivotArea>
    </format>
    <format dxfId="852">
      <pivotArea field="0" dataOnly="0" labelOnly="1" grandRow="1" outline="0" axis="axisRow" fieldPosition="0">
        <references count="1">
          <reference field="4294967294" count="1" selected="0">
            <x v="2"/>
          </reference>
        </references>
      </pivotArea>
    </format>
    <format dxfId="851">
      <pivotArea field="0" dataOnly="0" labelOnly="1" grandRow="1" outline="0" axis="axisRow" fieldPosition="0">
        <references count="1">
          <reference field="4294967294" count="1" selected="0">
            <x v="3"/>
          </reference>
        </references>
      </pivotArea>
    </format>
    <format dxfId="850">
      <pivotArea field="0" dataOnly="0" labelOnly="1" grandRow="1" outline="0" axis="axisRow" fieldPosition="0">
        <references count="1">
          <reference field="4294967294" count="1" selected="0">
            <x v="4"/>
          </reference>
        </references>
      </pivotArea>
    </format>
    <format dxfId="849">
      <pivotArea field="0" dataOnly="0" labelOnly="1" grandRow="1" outline="0" axis="axisRow" fieldPosition="0">
        <references count="1">
          <reference field="4294967294" count="1" selected="0">
            <x v="5"/>
          </reference>
        </references>
      </pivotArea>
    </format>
    <format dxfId="848">
      <pivotArea field="0" dataOnly="0" labelOnly="1" grandRow="1" outline="0" axis="axisRow" fieldPosition="0">
        <references count="1">
          <reference field="4294967294" count="1" selected="0">
            <x v="6"/>
          </reference>
        </references>
      </pivotArea>
    </format>
    <format dxfId="847">
      <pivotArea field="0" dataOnly="0" labelOnly="1" grandRow="1" outline="0" axis="axisRow" fieldPosition="0">
        <references count="1">
          <reference field="4294967294" count="1" selected="0">
            <x v="7"/>
          </reference>
        </references>
      </pivotArea>
    </format>
    <format dxfId="846">
      <pivotArea field="0" dataOnly="0" labelOnly="1" grandRow="1" outline="0" axis="axisRow" fieldPosition="0">
        <references count="1">
          <reference field="4294967294" count="1" selected="0">
            <x v="8"/>
          </reference>
        </references>
      </pivotArea>
    </format>
    <format dxfId="845">
      <pivotArea field="0" dataOnly="0" labelOnly="1" grandRow="1" outline="0" axis="axisRow" fieldPosition="0">
        <references count="1">
          <reference field="4294967294" count="1" selected="0">
            <x v="9"/>
          </reference>
        </references>
      </pivotArea>
    </format>
    <format dxfId="844">
      <pivotArea field="0" dataOnly="0" labelOnly="1" grandRow="1" outline="0" axis="axisRow" fieldPosition="0">
        <references count="1">
          <reference field="4294967294" count="1" selected="0">
            <x v="10"/>
          </reference>
        </references>
      </pivotArea>
    </format>
    <format dxfId="843">
      <pivotArea field="0" dataOnly="0" labelOnly="1" grandRow="1" outline="0" axis="axisRow" fieldPosition="0">
        <references count="1">
          <reference field="4294967294" count="1" selected="0">
            <x v="11"/>
          </reference>
        </references>
      </pivotArea>
    </format>
    <format dxfId="842">
      <pivotArea field="0" dataOnly="0" labelOnly="1" grandRow="1" outline="0" axis="axisRow" fieldPosition="0">
        <references count="1">
          <reference field="4294967294" count="1" selected="0">
            <x v="12"/>
          </reference>
        </references>
      </pivotArea>
    </format>
    <format dxfId="841">
      <pivotArea field="0" dataOnly="0" labelOnly="1" grandRow="1" outline="0" axis="axisRow" fieldPosition="0">
        <references count="1">
          <reference field="4294967294" count="1" selected="0">
            <x v="13"/>
          </reference>
        </references>
      </pivotArea>
    </format>
    <format dxfId="840">
      <pivotArea field="0" dataOnly="0" labelOnly="1" grandRow="1" outline="0" axis="axisRow" fieldPosition="0">
        <references count="1">
          <reference field="4294967294" count="1" selected="0">
            <x v="14"/>
          </reference>
        </references>
      </pivotArea>
    </format>
    <format dxfId="839">
      <pivotArea field="0" dataOnly="0" labelOnly="1" grandRow="1" outline="0" axis="axisRow" fieldPosition="0">
        <references count="1">
          <reference field="4294967294" count="1" selected="0">
            <x v="15"/>
          </reference>
        </references>
      </pivotArea>
    </format>
    <format dxfId="838">
      <pivotArea field="0" dataOnly="0" labelOnly="1" grandRow="1" outline="0" axis="axisRow" fieldPosition="0">
        <references count="1">
          <reference field="4294967294" count="1" selected="0">
            <x v="16"/>
          </reference>
        </references>
      </pivotArea>
    </format>
    <format dxfId="837">
      <pivotArea field="0" dataOnly="0" labelOnly="1" grandRow="1" outline="0" axis="axisRow" fieldPosition="0">
        <references count="1">
          <reference field="4294967294" count="1" selected="0">
            <x v="17"/>
          </reference>
        </references>
      </pivotArea>
    </format>
    <format dxfId="836">
      <pivotArea field="0" dataOnly="0" labelOnly="1" grandRow="1" outline="0" axis="axisRow" fieldPosition="0">
        <references count="1">
          <reference field="4294967294" count="1" selected="0">
            <x v="18"/>
          </reference>
        </references>
      </pivotArea>
    </format>
    <format dxfId="835">
      <pivotArea field="0" dataOnly="0" labelOnly="1" grandRow="1" outline="0" axis="axisRow" fieldPosition="0">
        <references count="1">
          <reference field="4294967294" count="1" selected="0">
            <x v="19"/>
          </reference>
        </references>
      </pivotArea>
    </format>
    <format dxfId="834">
      <pivotArea field="0" dataOnly="0" labelOnly="1" grandRow="1" outline="0" axis="axisRow" fieldPosition="0">
        <references count="1">
          <reference field="4294967294" count="1" selected="0">
            <x v="20"/>
          </reference>
        </references>
      </pivotArea>
    </format>
    <format dxfId="833">
      <pivotArea field="0" dataOnly="0" labelOnly="1" grandRow="1" outline="0" axis="axisRow" fieldPosition="0">
        <references count="1">
          <reference field="4294967294" count="1" selected="0">
            <x v="21"/>
          </reference>
        </references>
      </pivotArea>
    </format>
    <format dxfId="832">
      <pivotArea field="0" dataOnly="0" labelOnly="1" grandRow="1" outline="0" axis="axisRow" fieldPosition="0">
        <references count="1">
          <reference field="4294967294" count="1" selected="0">
            <x v="22"/>
          </reference>
        </references>
      </pivotArea>
    </format>
    <format dxfId="831">
      <pivotArea field="0" dataOnly="0" labelOnly="1" grandRow="1" outline="0" axis="axisRow" fieldPosition="0">
        <references count="1">
          <reference field="4294967294" count="1" selected="0">
            <x v="23"/>
          </reference>
        </references>
      </pivotArea>
    </format>
    <format dxfId="830">
      <pivotArea field="0" dataOnly="0" labelOnly="1" grandRow="1" outline="0" axis="axisRow" fieldPosition="0">
        <references count="1">
          <reference field="4294967294" count="1" selected="0">
            <x v="24"/>
          </reference>
        </references>
      </pivotArea>
    </format>
    <format dxfId="829">
      <pivotArea field="0" dataOnly="0" labelOnly="1" grandRow="1" outline="0" axis="axisRow" fieldPosition="0">
        <references count="1">
          <reference field="4294967294" count="1" selected="0">
            <x v="25"/>
          </reference>
        </references>
      </pivotArea>
    </format>
    <format dxfId="828">
      <pivotArea field="0" dataOnly="0" labelOnly="1" grandRow="1" outline="0" axis="axisRow" fieldPosition="0">
        <references count="1">
          <reference field="4294967294" count="1" selected="0">
            <x v="26"/>
          </reference>
        </references>
      </pivotArea>
    </format>
    <format dxfId="827">
      <pivotArea field="0" dataOnly="0" labelOnly="1" grandRow="1" outline="0" axis="axisRow" fieldPosition="0">
        <references count="1">
          <reference field="4294967294" count="1" selected="0">
            <x v="27"/>
          </reference>
        </references>
      </pivotArea>
    </format>
    <format dxfId="826">
      <pivotArea field="0" dataOnly="0" labelOnly="1" grandRow="1" outline="0" axis="axisRow" fieldPosition="0">
        <references count="1">
          <reference field="4294967294" count="1" selected="0">
            <x v="28"/>
          </reference>
        </references>
      </pivotArea>
    </format>
    <format dxfId="825">
      <pivotArea field="0" dataOnly="0" labelOnly="1" grandRow="1" outline="0" axis="axisRow" fieldPosition="0">
        <references count="1">
          <reference field="4294967294" count="1" selected="0">
            <x v="29"/>
          </reference>
        </references>
      </pivotArea>
    </format>
    <format dxfId="824">
      <pivotArea field="0" dataOnly="0" labelOnly="1" grandRow="1" outline="0" axis="axisRow" fieldPosition="0">
        <references count="1">
          <reference field="4294967294" count="1" selected="0">
            <x v="30"/>
          </reference>
        </references>
      </pivotArea>
    </format>
    <format dxfId="823">
      <pivotArea field="0" dataOnly="0" labelOnly="1" grandRow="1" outline="0" axis="axisRow" fieldPosition="0">
        <references count="1">
          <reference field="4294967294" count="1" selected="0">
            <x v="31"/>
          </reference>
        </references>
      </pivotArea>
    </format>
    <format dxfId="822">
      <pivotArea field="0" dataOnly="0" labelOnly="1" grandRow="1" outline="0" axis="axisRow" fieldPosition="0">
        <references count="1">
          <reference field="4294967294" count="1" selected="0">
            <x v="32"/>
          </reference>
        </references>
      </pivotArea>
    </format>
    <format dxfId="821">
      <pivotArea field="0" dataOnly="0" labelOnly="1" grandRow="1" outline="0" axis="axisRow" fieldPosition="0">
        <references count="1">
          <reference field="4294967294" count="1" selected="0">
            <x v="33"/>
          </reference>
        </references>
      </pivotArea>
    </format>
    <format dxfId="820">
      <pivotArea field="0" dataOnly="0" labelOnly="1" grandRow="1" outline="0" axis="axisRow" fieldPosition="0">
        <references count="1">
          <reference field="4294967294" count="1" selected="0">
            <x v="34"/>
          </reference>
        </references>
      </pivotArea>
    </format>
    <format dxfId="819">
      <pivotArea field="0" dataOnly="0" labelOnly="1" grandRow="1" outline="0" axis="axisRow" fieldPosition="0">
        <references count="1">
          <reference field="4294967294" count="1" selected="0">
            <x v="35"/>
          </reference>
        </references>
      </pivotArea>
    </format>
    <format dxfId="818">
      <pivotArea field="0" dataOnly="0" labelOnly="1" grandRow="1" outline="0" axis="axisRow" fieldPosition="0">
        <references count="1">
          <reference field="4294967294" count="1" selected="0">
            <x v="0"/>
          </reference>
        </references>
      </pivotArea>
    </format>
    <format dxfId="817">
      <pivotArea field="0" dataOnly="0" labelOnly="1" grandRow="1" outline="0" axis="axisRow" fieldPosition="0">
        <references count="1">
          <reference field="4294967294" count="1" selected="0">
            <x v="1"/>
          </reference>
        </references>
      </pivotArea>
    </format>
    <format dxfId="816">
      <pivotArea field="0" dataOnly="0" labelOnly="1" grandRow="1" outline="0" axis="axisRow" fieldPosition="0">
        <references count="1">
          <reference field="4294967294" count="1" selected="0">
            <x v="2"/>
          </reference>
        </references>
      </pivotArea>
    </format>
    <format dxfId="815">
      <pivotArea field="0" dataOnly="0" labelOnly="1" grandRow="1" outline="0" axis="axisRow" fieldPosition="0">
        <references count="1">
          <reference field="4294967294" count="1" selected="0">
            <x v="3"/>
          </reference>
        </references>
      </pivotArea>
    </format>
    <format dxfId="814">
      <pivotArea field="0" dataOnly="0" labelOnly="1" grandRow="1" outline="0" axis="axisRow" fieldPosition="0">
        <references count="1">
          <reference field="4294967294" count="1" selected="0">
            <x v="4"/>
          </reference>
        </references>
      </pivotArea>
    </format>
    <format dxfId="813">
      <pivotArea field="0" dataOnly="0" labelOnly="1" grandRow="1" outline="0" axis="axisRow" fieldPosition="0">
        <references count="1">
          <reference field="4294967294" count="1" selected="0">
            <x v="5"/>
          </reference>
        </references>
      </pivotArea>
    </format>
    <format dxfId="812">
      <pivotArea field="0" dataOnly="0" labelOnly="1" grandRow="1" outline="0" axis="axisRow" fieldPosition="0">
        <references count="1">
          <reference field="4294967294" count="1" selected="0">
            <x v="6"/>
          </reference>
        </references>
      </pivotArea>
    </format>
    <format dxfId="811">
      <pivotArea field="0" dataOnly="0" labelOnly="1" grandRow="1" outline="0" axis="axisRow" fieldPosition="0">
        <references count="1">
          <reference field="4294967294" count="1" selected="0">
            <x v="7"/>
          </reference>
        </references>
      </pivotArea>
    </format>
    <format dxfId="810">
      <pivotArea field="0" dataOnly="0" labelOnly="1" grandRow="1" outline="0" axis="axisRow" fieldPosition="0">
        <references count="1">
          <reference field="4294967294" count="1" selected="0">
            <x v="8"/>
          </reference>
        </references>
      </pivotArea>
    </format>
    <format dxfId="809">
      <pivotArea field="0" dataOnly="0" labelOnly="1" grandRow="1" outline="0" axis="axisRow" fieldPosition="0">
        <references count="1">
          <reference field="4294967294" count="1" selected="0">
            <x v="9"/>
          </reference>
        </references>
      </pivotArea>
    </format>
    <format dxfId="808">
      <pivotArea field="0" dataOnly="0" labelOnly="1" grandRow="1" outline="0" axis="axisRow" fieldPosition="0">
        <references count="1">
          <reference field="4294967294" count="1" selected="0">
            <x v="10"/>
          </reference>
        </references>
      </pivotArea>
    </format>
    <format dxfId="807">
      <pivotArea field="0" dataOnly="0" labelOnly="1" grandRow="1" outline="0" axis="axisRow" fieldPosition="0">
        <references count="1">
          <reference field="4294967294" count="1" selected="0">
            <x v="11"/>
          </reference>
        </references>
      </pivotArea>
    </format>
    <format dxfId="806">
      <pivotArea field="0" dataOnly="0" labelOnly="1" grandRow="1" outline="0" axis="axisRow" fieldPosition="0">
        <references count="1">
          <reference field="4294967294" count="1" selected="0">
            <x v="12"/>
          </reference>
        </references>
      </pivotArea>
    </format>
    <format dxfId="805">
      <pivotArea field="0" dataOnly="0" labelOnly="1" grandRow="1" outline="0" axis="axisRow" fieldPosition="0">
        <references count="1">
          <reference field="4294967294" count="1" selected="0">
            <x v="13"/>
          </reference>
        </references>
      </pivotArea>
    </format>
    <format dxfId="804">
      <pivotArea field="0" dataOnly="0" labelOnly="1" grandRow="1" outline="0" axis="axisRow" fieldPosition="0">
        <references count="1">
          <reference field="4294967294" count="1" selected="0">
            <x v="14"/>
          </reference>
        </references>
      </pivotArea>
    </format>
    <format dxfId="803">
      <pivotArea field="0" dataOnly="0" labelOnly="1" grandRow="1" outline="0" axis="axisRow" fieldPosition="0">
        <references count="1">
          <reference field="4294967294" count="1" selected="0">
            <x v="15"/>
          </reference>
        </references>
      </pivotArea>
    </format>
    <format dxfId="802">
      <pivotArea field="0" dataOnly="0" labelOnly="1" grandRow="1" outline="0" axis="axisRow" fieldPosition="0">
        <references count="1">
          <reference field="4294967294" count="1" selected="0">
            <x v="16"/>
          </reference>
        </references>
      </pivotArea>
    </format>
    <format dxfId="801">
      <pivotArea field="0" dataOnly="0" labelOnly="1" grandRow="1" outline="0" axis="axisRow" fieldPosition="0">
        <references count="1">
          <reference field="4294967294" count="1" selected="0">
            <x v="17"/>
          </reference>
        </references>
      </pivotArea>
    </format>
    <format dxfId="800">
      <pivotArea field="0" dataOnly="0" labelOnly="1" grandRow="1" outline="0" axis="axisRow" fieldPosition="0">
        <references count="1">
          <reference field="4294967294" count="1" selected="0">
            <x v="18"/>
          </reference>
        </references>
      </pivotArea>
    </format>
    <format dxfId="799">
      <pivotArea field="0" dataOnly="0" labelOnly="1" grandRow="1" outline="0" axis="axisRow" fieldPosition="0">
        <references count="1">
          <reference field="4294967294" count="1" selected="0">
            <x v="19"/>
          </reference>
        </references>
      </pivotArea>
    </format>
    <format dxfId="798">
      <pivotArea field="0" dataOnly="0" labelOnly="1" grandRow="1" outline="0" axis="axisRow" fieldPosition="0">
        <references count="1">
          <reference field="4294967294" count="1" selected="0">
            <x v="20"/>
          </reference>
        </references>
      </pivotArea>
    </format>
    <format dxfId="797">
      <pivotArea field="0" dataOnly="0" labelOnly="1" grandRow="1" outline="0" axis="axisRow" fieldPosition="0">
        <references count="1">
          <reference field="4294967294" count="1" selected="0">
            <x v="21"/>
          </reference>
        </references>
      </pivotArea>
    </format>
    <format dxfId="796">
      <pivotArea field="0" dataOnly="0" labelOnly="1" grandRow="1" outline="0" axis="axisRow" fieldPosition="0">
        <references count="1">
          <reference field="4294967294" count="1" selected="0">
            <x v="22"/>
          </reference>
        </references>
      </pivotArea>
    </format>
    <format dxfId="795">
      <pivotArea field="0" dataOnly="0" labelOnly="1" grandRow="1" outline="0" axis="axisRow" fieldPosition="0">
        <references count="1">
          <reference field="4294967294" count="1" selected="0">
            <x v="23"/>
          </reference>
        </references>
      </pivotArea>
    </format>
    <format dxfId="794">
      <pivotArea field="0" dataOnly="0" labelOnly="1" grandRow="1" outline="0" axis="axisRow" fieldPosition="0">
        <references count="1">
          <reference field="4294967294" count="1" selected="0">
            <x v="24"/>
          </reference>
        </references>
      </pivotArea>
    </format>
    <format dxfId="793">
      <pivotArea field="0" dataOnly="0" labelOnly="1" grandRow="1" outline="0" axis="axisRow" fieldPosition="0">
        <references count="1">
          <reference field="4294967294" count="1" selected="0">
            <x v="25"/>
          </reference>
        </references>
      </pivotArea>
    </format>
    <format dxfId="792">
      <pivotArea field="0" dataOnly="0" labelOnly="1" grandRow="1" outline="0" axis="axisRow" fieldPosition="0">
        <references count="1">
          <reference field="4294967294" count="1" selected="0">
            <x v="26"/>
          </reference>
        </references>
      </pivotArea>
    </format>
    <format dxfId="791">
      <pivotArea field="0" dataOnly="0" labelOnly="1" grandRow="1" outline="0" axis="axisRow" fieldPosition="0">
        <references count="1">
          <reference field="4294967294" count="1" selected="0">
            <x v="27"/>
          </reference>
        </references>
      </pivotArea>
    </format>
    <format dxfId="790">
      <pivotArea field="0" dataOnly="0" labelOnly="1" grandRow="1" outline="0" axis="axisRow" fieldPosition="0">
        <references count="1">
          <reference field="4294967294" count="1" selected="0">
            <x v="28"/>
          </reference>
        </references>
      </pivotArea>
    </format>
    <format dxfId="789">
      <pivotArea field="0" dataOnly="0" labelOnly="1" grandRow="1" outline="0" axis="axisRow" fieldPosition="0">
        <references count="1">
          <reference field="4294967294" count="1" selected="0">
            <x v="29"/>
          </reference>
        </references>
      </pivotArea>
    </format>
    <format dxfId="788">
      <pivotArea field="0" dataOnly="0" labelOnly="1" grandRow="1" outline="0" axis="axisRow" fieldPosition="0">
        <references count="1">
          <reference field="4294967294" count="1" selected="0">
            <x v="30"/>
          </reference>
        </references>
      </pivotArea>
    </format>
    <format dxfId="787">
      <pivotArea field="0" dataOnly="0" labelOnly="1" grandRow="1" outline="0" axis="axisRow" fieldPosition="0">
        <references count="1">
          <reference field="4294967294" count="1" selected="0">
            <x v="31"/>
          </reference>
        </references>
      </pivotArea>
    </format>
    <format dxfId="786">
      <pivotArea field="0" dataOnly="0" labelOnly="1" grandRow="1" outline="0" axis="axisRow" fieldPosition="0">
        <references count="1">
          <reference field="4294967294" count="1" selected="0">
            <x v="32"/>
          </reference>
        </references>
      </pivotArea>
    </format>
    <format dxfId="785">
      <pivotArea field="0" dataOnly="0" labelOnly="1" grandRow="1" outline="0" axis="axisRow" fieldPosition="0">
        <references count="1">
          <reference field="4294967294" count="1" selected="0">
            <x v="33"/>
          </reference>
        </references>
      </pivotArea>
    </format>
    <format dxfId="784">
      <pivotArea field="0" dataOnly="0" labelOnly="1" grandRow="1" outline="0" axis="axisRow" fieldPosition="0">
        <references count="1">
          <reference field="4294967294" count="1" selected="0">
            <x v="34"/>
          </reference>
        </references>
      </pivotArea>
    </format>
    <format dxfId="783">
      <pivotArea field="0" dataOnly="0" labelOnly="1" grandRow="1" outline="0" axis="axisRow" fieldPosition="0">
        <references count="1">
          <reference field="4294967294" count="1" selected="0">
            <x v="35"/>
          </reference>
        </references>
      </pivotArea>
    </format>
    <format dxfId="782">
      <pivotArea field="0" dataOnly="0" labelOnly="1" grandRow="1" outline="0" axis="axisRow" fieldPosition="0">
        <references count="1">
          <reference field="4294967294" count="1" selected="0">
            <x v="0"/>
          </reference>
        </references>
      </pivotArea>
    </format>
    <format dxfId="781">
      <pivotArea field="0" dataOnly="0" labelOnly="1" grandRow="1" outline="0" axis="axisRow" fieldPosition="0">
        <references count="1">
          <reference field="4294967294" count="1" selected="0">
            <x v="1"/>
          </reference>
        </references>
      </pivotArea>
    </format>
    <format dxfId="780">
      <pivotArea field="0" dataOnly="0" labelOnly="1" grandRow="1" outline="0" axis="axisRow" fieldPosition="0">
        <references count="1">
          <reference field="4294967294" count="1" selected="0">
            <x v="2"/>
          </reference>
        </references>
      </pivotArea>
    </format>
    <format dxfId="779">
      <pivotArea field="0" dataOnly="0" labelOnly="1" grandRow="1" outline="0" axis="axisRow" fieldPosition="0">
        <references count="1">
          <reference field="4294967294" count="1" selected="0">
            <x v="3"/>
          </reference>
        </references>
      </pivotArea>
    </format>
    <format dxfId="778">
      <pivotArea field="0" dataOnly="0" labelOnly="1" grandRow="1" outline="0" axis="axisRow" fieldPosition="0">
        <references count="1">
          <reference field="4294967294" count="1" selected="0">
            <x v="4"/>
          </reference>
        </references>
      </pivotArea>
    </format>
    <format dxfId="777">
      <pivotArea field="0" dataOnly="0" labelOnly="1" grandRow="1" outline="0" axis="axisRow" fieldPosition="0">
        <references count="1">
          <reference field="4294967294" count="1" selected="0">
            <x v="5"/>
          </reference>
        </references>
      </pivotArea>
    </format>
    <format dxfId="776">
      <pivotArea field="0" dataOnly="0" labelOnly="1" grandRow="1" outline="0" axis="axisRow" fieldPosition="0">
        <references count="1">
          <reference field="4294967294" count="1" selected="0">
            <x v="6"/>
          </reference>
        </references>
      </pivotArea>
    </format>
    <format dxfId="775">
      <pivotArea field="0" dataOnly="0" labelOnly="1" grandRow="1" outline="0" axis="axisRow" fieldPosition="0">
        <references count="1">
          <reference field="4294967294" count="1" selected="0">
            <x v="7"/>
          </reference>
        </references>
      </pivotArea>
    </format>
    <format dxfId="774">
      <pivotArea field="0" dataOnly="0" labelOnly="1" grandRow="1" outline="0" axis="axisRow" fieldPosition="0">
        <references count="1">
          <reference field="4294967294" count="1" selected="0">
            <x v="8"/>
          </reference>
        </references>
      </pivotArea>
    </format>
    <format dxfId="773">
      <pivotArea field="0" dataOnly="0" labelOnly="1" grandRow="1" outline="0" axis="axisRow" fieldPosition="0">
        <references count="1">
          <reference field="4294967294" count="1" selected="0">
            <x v="9"/>
          </reference>
        </references>
      </pivotArea>
    </format>
    <format dxfId="772">
      <pivotArea field="0" dataOnly="0" labelOnly="1" grandRow="1" outline="0" axis="axisRow" fieldPosition="0">
        <references count="1">
          <reference field="4294967294" count="1" selected="0">
            <x v="10"/>
          </reference>
        </references>
      </pivotArea>
    </format>
    <format dxfId="771">
      <pivotArea field="0" dataOnly="0" labelOnly="1" grandRow="1" outline="0" axis="axisRow" fieldPosition="0">
        <references count="1">
          <reference field="4294967294" count="1" selected="0">
            <x v="11"/>
          </reference>
        </references>
      </pivotArea>
    </format>
    <format dxfId="770">
      <pivotArea field="0" dataOnly="0" labelOnly="1" grandRow="1" outline="0" axis="axisRow" fieldPosition="0">
        <references count="1">
          <reference field="4294967294" count="1" selected="0">
            <x v="12"/>
          </reference>
        </references>
      </pivotArea>
    </format>
    <format dxfId="769">
      <pivotArea field="0" dataOnly="0" labelOnly="1" grandRow="1" outline="0" axis="axisRow" fieldPosition="0">
        <references count="1">
          <reference field="4294967294" count="1" selected="0">
            <x v="13"/>
          </reference>
        </references>
      </pivotArea>
    </format>
    <format dxfId="768">
      <pivotArea field="0" dataOnly="0" labelOnly="1" grandRow="1" outline="0" axis="axisRow" fieldPosition="0">
        <references count="1">
          <reference field="4294967294" count="1" selected="0">
            <x v="14"/>
          </reference>
        </references>
      </pivotArea>
    </format>
    <format dxfId="767">
      <pivotArea field="0" dataOnly="0" labelOnly="1" grandRow="1" outline="0" axis="axisRow" fieldPosition="0">
        <references count="1">
          <reference field="4294967294" count="1" selected="0">
            <x v="15"/>
          </reference>
        </references>
      </pivotArea>
    </format>
    <format dxfId="766">
      <pivotArea field="0" dataOnly="0" labelOnly="1" grandRow="1" outline="0" axis="axisRow" fieldPosition="0">
        <references count="1">
          <reference field="4294967294" count="1" selected="0">
            <x v="16"/>
          </reference>
        </references>
      </pivotArea>
    </format>
    <format dxfId="765">
      <pivotArea field="0" dataOnly="0" labelOnly="1" grandRow="1" outline="0" axis="axisRow" fieldPosition="0">
        <references count="1">
          <reference field="4294967294" count="1" selected="0">
            <x v="17"/>
          </reference>
        </references>
      </pivotArea>
    </format>
    <format dxfId="764">
      <pivotArea field="0" dataOnly="0" labelOnly="1" grandRow="1" outline="0" axis="axisRow" fieldPosition="0">
        <references count="1">
          <reference field="4294967294" count="1" selected="0">
            <x v="18"/>
          </reference>
        </references>
      </pivotArea>
    </format>
    <format dxfId="763">
      <pivotArea field="0" dataOnly="0" labelOnly="1" grandRow="1" outline="0" axis="axisRow" fieldPosition="0">
        <references count="1">
          <reference field="4294967294" count="1" selected="0">
            <x v="19"/>
          </reference>
        </references>
      </pivotArea>
    </format>
    <format dxfId="762">
      <pivotArea field="0" dataOnly="0" labelOnly="1" grandRow="1" outline="0" axis="axisRow" fieldPosition="0">
        <references count="1">
          <reference field="4294967294" count="1" selected="0">
            <x v="20"/>
          </reference>
        </references>
      </pivotArea>
    </format>
    <format dxfId="761">
      <pivotArea field="0" dataOnly="0" labelOnly="1" grandRow="1" outline="0" axis="axisRow" fieldPosition="0">
        <references count="1">
          <reference field="4294967294" count="1" selected="0">
            <x v="21"/>
          </reference>
        </references>
      </pivotArea>
    </format>
    <format dxfId="760">
      <pivotArea field="0" dataOnly="0" labelOnly="1" grandRow="1" outline="0" axis="axisRow" fieldPosition="0">
        <references count="1">
          <reference field="4294967294" count="1" selected="0">
            <x v="22"/>
          </reference>
        </references>
      </pivotArea>
    </format>
    <format dxfId="759">
      <pivotArea field="0" dataOnly="0" labelOnly="1" grandRow="1" outline="0" axis="axisRow" fieldPosition="0">
        <references count="1">
          <reference field="4294967294" count="1" selected="0">
            <x v="23"/>
          </reference>
        </references>
      </pivotArea>
    </format>
    <format dxfId="758">
      <pivotArea field="0" dataOnly="0" labelOnly="1" grandRow="1" outline="0" axis="axisRow" fieldPosition="0">
        <references count="1">
          <reference field="4294967294" count="1" selected="0">
            <x v="24"/>
          </reference>
        </references>
      </pivotArea>
    </format>
    <format dxfId="757">
      <pivotArea field="0" dataOnly="0" labelOnly="1" grandRow="1" outline="0" axis="axisRow" fieldPosition="0">
        <references count="1">
          <reference field="4294967294" count="1" selected="0">
            <x v="25"/>
          </reference>
        </references>
      </pivotArea>
    </format>
    <format dxfId="756">
      <pivotArea field="0" dataOnly="0" labelOnly="1" grandRow="1" outline="0" axis="axisRow" fieldPosition="0">
        <references count="1">
          <reference field="4294967294" count="1" selected="0">
            <x v="26"/>
          </reference>
        </references>
      </pivotArea>
    </format>
    <format dxfId="755">
      <pivotArea field="0" dataOnly="0" labelOnly="1" grandRow="1" outline="0" axis="axisRow" fieldPosition="0">
        <references count="1">
          <reference field="4294967294" count="1" selected="0">
            <x v="27"/>
          </reference>
        </references>
      </pivotArea>
    </format>
    <format dxfId="754">
      <pivotArea field="0" dataOnly="0" labelOnly="1" grandRow="1" outline="0" axis="axisRow" fieldPosition="0">
        <references count="1">
          <reference field="4294967294" count="1" selected="0">
            <x v="28"/>
          </reference>
        </references>
      </pivotArea>
    </format>
    <format dxfId="753">
      <pivotArea field="0" dataOnly="0" labelOnly="1" grandRow="1" outline="0" axis="axisRow" fieldPosition="0">
        <references count="1">
          <reference field="4294967294" count="1" selected="0">
            <x v="29"/>
          </reference>
        </references>
      </pivotArea>
    </format>
    <format dxfId="752">
      <pivotArea field="0" dataOnly="0" labelOnly="1" grandRow="1" outline="0" axis="axisRow" fieldPosition="0">
        <references count="1">
          <reference field="4294967294" count="1" selected="0">
            <x v="30"/>
          </reference>
        </references>
      </pivotArea>
    </format>
    <format dxfId="751">
      <pivotArea field="0" dataOnly="0" labelOnly="1" grandRow="1" outline="0" axis="axisRow" fieldPosition="0">
        <references count="1">
          <reference field="4294967294" count="1" selected="0">
            <x v="31"/>
          </reference>
        </references>
      </pivotArea>
    </format>
    <format dxfId="750">
      <pivotArea field="0" dataOnly="0" labelOnly="1" grandRow="1" outline="0" axis="axisRow" fieldPosition="0">
        <references count="1">
          <reference field="4294967294" count="1" selected="0">
            <x v="32"/>
          </reference>
        </references>
      </pivotArea>
    </format>
    <format dxfId="749">
      <pivotArea field="0" dataOnly="0" labelOnly="1" grandRow="1" outline="0" axis="axisRow" fieldPosition="0">
        <references count="1">
          <reference field="4294967294" count="1" selected="0">
            <x v="33"/>
          </reference>
        </references>
      </pivotArea>
    </format>
    <format dxfId="748">
      <pivotArea field="0" dataOnly="0" labelOnly="1" grandRow="1" outline="0" axis="axisRow" fieldPosition="0">
        <references count="1">
          <reference field="4294967294" count="1" selected="0">
            <x v="34"/>
          </reference>
        </references>
      </pivotArea>
    </format>
    <format dxfId="747">
      <pivotArea field="0" dataOnly="0" labelOnly="1" grandRow="1" outline="0" axis="axisRow" fieldPosition="0">
        <references count="1">
          <reference field="4294967294" count="1" selected="0">
            <x v="35"/>
          </reference>
        </references>
      </pivotArea>
    </format>
    <format dxfId="746">
      <pivotArea field="0" dataOnly="0" labelOnly="1" grandRow="1" outline="0" axis="axisRow" fieldPosition="0">
        <references count="1">
          <reference field="4294967294" count="1" selected="0">
            <x v="0"/>
          </reference>
        </references>
      </pivotArea>
    </format>
    <format dxfId="745">
      <pivotArea field="0" dataOnly="0" labelOnly="1" grandRow="1" outline="0" axis="axisRow" fieldPosition="0">
        <references count="1">
          <reference field="4294967294" count="1" selected="0">
            <x v="1"/>
          </reference>
        </references>
      </pivotArea>
    </format>
    <format dxfId="744">
      <pivotArea field="0" dataOnly="0" labelOnly="1" grandRow="1" outline="0" axis="axisRow" fieldPosition="0">
        <references count="1">
          <reference field="4294967294" count="1" selected="0">
            <x v="2"/>
          </reference>
        </references>
      </pivotArea>
    </format>
    <format dxfId="743">
      <pivotArea field="0" dataOnly="0" labelOnly="1" grandRow="1" outline="0" axis="axisRow" fieldPosition="0">
        <references count="1">
          <reference field="4294967294" count="1" selected="0">
            <x v="3"/>
          </reference>
        </references>
      </pivotArea>
    </format>
    <format dxfId="742">
      <pivotArea field="0" dataOnly="0" labelOnly="1" grandRow="1" outline="0" axis="axisRow" fieldPosition="0">
        <references count="1">
          <reference field="4294967294" count="1" selected="0">
            <x v="4"/>
          </reference>
        </references>
      </pivotArea>
    </format>
    <format dxfId="741">
      <pivotArea field="0" dataOnly="0" labelOnly="1" grandRow="1" outline="0" axis="axisRow" fieldPosition="0">
        <references count="1">
          <reference field="4294967294" count="1" selected="0">
            <x v="5"/>
          </reference>
        </references>
      </pivotArea>
    </format>
    <format dxfId="740">
      <pivotArea field="0" dataOnly="0" labelOnly="1" grandRow="1" outline="0" axis="axisRow" fieldPosition="0">
        <references count="1">
          <reference field="4294967294" count="1" selected="0">
            <x v="6"/>
          </reference>
        </references>
      </pivotArea>
    </format>
    <format dxfId="739">
      <pivotArea field="0" dataOnly="0" labelOnly="1" grandRow="1" outline="0" axis="axisRow" fieldPosition="0">
        <references count="1">
          <reference field="4294967294" count="1" selected="0">
            <x v="7"/>
          </reference>
        </references>
      </pivotArea>
    </format>
    <format dxfId="738">
      <pivotArea field="0" dataOnly="0" labelOnly="1" grandRow="1" outline="0" axis="axisRow" fieldPosition="0">
        <references count="1">
          <reference field="4294967294" count="1" selected="0">
            <x v="8"/>
          </reference>
        </references>
      </pivotArea>
    </format>
    <format dxfId="737">
      <pivotArea field="0" dataOnly="0" labelOnly="1" grandRow="1" outline="0" axis="axisRow" fieldPosition="0">
        <references count="1">
          <reference field="4294967294" count="1" selected="0">
            <x v="9"/>
          </reference>
        </references>
      </pivotArea>
    </format>
    <format dxfId="736">
      <pivotArea field="0" dataOnly="0" labelOnly="1" grandRow="1" outline="0" axis="axisRow" fieldPosition="0">
        <references count="1">
          <reference field="4294967294" count="1" selected="0">
            <x v="10"/>
          </reference>
        </references>
      </pivotArea>
    </format>
    <format dxfId="735">
      <pivotArea field="0" dataOnly="0" labelOnly="1" grandRow="1" outline="0" axis="axisRow" fieldPosition="0">
        <references count="1">
          <reference field="4294967294" count="1" selected="0">
            <x v="11"/>
          </reference>
        </references>
      </pivotArea>
    </format>
    <format dxfId="734">
      <pivotArea field="0" dataOnly="0" labelOnly="1" grandRow="1" outline="0" axis="axisRow" fieldPosition="0">
        <references count="1">
          <reference field="4294967294" count="1" selected="0">
            <x v="12"/>
          </reference>
        </references>
      </pivotArea>
    </format>
    <format dxfId="733">
      <pivotArea field="0" dataOnly="0" labelOnly="1" grandRow="1" outline="0" axis="axisRow" fieldPosition="0">
        <references count="1">
          <reference field="4294967294" count="1" selected="0">
            <x v="13"/>
          </reference>
        </references>
      </pivotArea>
    </format>
    <format dxfId="732">
      <pivotArea field="0" dataOnly="0" labelOnly="1" grandRow="1" outline="0" axis="axisRow" fieldPosition="0">
        <references count="1">
          <reference field="4294967294" count="1" selected="0">
            <x v="14"/>
          </reference>
        </references>
      </pivotArea>
    </format>
    <format dxfId="731">
      <pivotArea field="0" dataOnly="0" labelOnly="1" grandRow="1" outline="0" axis="axisRow" fieldPosition="0">
        <references count="1">
          <reference field="4294967294" count="1" selected="0">
            <x v="15"/>
          </reference>
        </references>
      </pivotArea>
    </format>
    <format dxfId="730">
      <pivotArea field="0" dataOnly="0" labelOnly="1" grandRow="1" outline="0" axis="axisRow" fieldPosition="0">
        <references count="1">
          <reference field="4294967294" count="1" selected="0">
            <x v="16"/>
          </reference>
        </references>
      </pivotArea>
    </format>
    <format dxfId="729">
      <pivotArea field="0" dataOnly="0" labelOnly="1" grandRow="1" outline="0" axis="axisRow" fieldPosition="0">
        <references count="1">
          <reference field="4294967294" count="1" selected="0">
            <x v="17"/>
          </reference>
        </references>
      </pivotArea>
    </format>
    <format dxfId="728">
      <pivotArea field="0" dataOnly="0" labelOnly="1" grandRow="1" outline="0" axis="axisRow" fieldPosition="0">
        <references count="1">
          <reference field="4294967294" count="1" selected="0">
            <x v="18"/>
          </reference>
        </references>
      </pivotArea>
    </format>
    <format dxfId="727">
      <pivotArea field="0" dataOnly="0" labelOnly="1" grandRow="1" outline="0" axis="axisRow" fieldPosition="0">
        <references count="1">
          <reference field="4294967294" count="1" selected="0">
            <x v="19"/>
          </reference>
        </references>
      </pivotArea>
    </format>
    <format dxfId="726">
      <pivotArea field="0" dataOnly="0" labelOnly="1" grandRow="1" outline="0" axis="axisRow" fieldPosition="0">
        <references count="1">
          <reference field="4294967294" count="1" selected="0">
            <x v="20"/>
          </reference>
        </references>
      </pivotArea>
    </format>
    <format dxfId="725">
      <pivotArea field="0" dataOnly="0" labelOnly="1" grandRow="1" outline="0" axis="axisRow" fieldPosition="0">
        <references count="1">
          <reference field="4294967294" count="1" selected="0">
            <x v="21"/>
          </reference>
        </references>
      </pivotArea>
    </format>
    <format dxfId="724">
      <pivotArea field="0" dataOnly="0" labelOnly="1" grandRow="1" outline="0" axis="axisRow" fieldPosition="0">
        <references count="1">
          <reference field="4294967294" count="1" selected="0">
            <x v="22"/>
          </reference>
        </references>
      </pivotArea>
    </format>
    <format dxfId="723">
      <pivotArea field="0" dataOnly="0" labelOnly="1" grandRow="1" outline="0" axis="axisRow" fieldPosition="0">
        <references count="1">
          <reference field="4294967294" count="1" selected="0">
            <x v="23"/>
          </reference>
        </references>
      </pivotArea>
    </format>
    <format dxfId="722">
      <pivotArea field="0" dataOnly="0" labelOnly="1" grandRow="1" outline="0" axis="axisRow" fieldPosition="0">
        <references count="1">
          <reference field="4294967294" count="1" selected="0">
            <x v="24"/>
          </reference>
        </references>
      </pivotArea>
    </format>
    <format dxfId="721">
      <pivotArea field="0" dataOnly="0" labelOnly="1" grandRow="1" outline="0" axis="axisRow" fieldPosition="0">
        <references count="1">
          <reference field="4294967294" count="1" selected="0">
            <x v="25"/>
          </reference>
        </references>
      </pivotArea>
    </format>
    <format dxfId="720">
      <pivotArea field="0" dataOnly="0" labelOnly="1" grandRow="1" outline="0" axis="axisRow" fieldPosition="0">
        <references count="1">
          <reference field="4294967294" count="1" selected="0">
            <x v="26"/>
          </reference>
        </references>
      </pivotArea>
    </format>
    <format dxfId="719">
      <pivotArea field="0" dataOnly="0" labelOnly="1" grandRow="1" outline="0" axis="axisRow" fieldPosition="0">
        <references count="1">
          <reference field="4294967294" count="1" selected="0">
            <x v="27"/>
          </reference>
        </references>
      </pivotArea>
    </format>
    <format dxfId="718">
      <pivotArea field="0" dataOnly="0" labelOnly="1" grandRow="1" outline="0" axis="axisRow" fieldPosition="0">
        <references count="1">
          <reference field="4294967294" count="1" selected="0">
            <x v="28"/>
          </reference>
        </references>
      </pivotArea>
    </format>
    <format dxfId="717">
      <pivotArea field="0" dataOnly="0" labelOnly="1" grandRow="1" outline="0" axis="axisRow" fieldPosition="0">
        <references count="1">
          <reference field="4294967294" count="1" selected="0">
            <x v="29"/>
          </reference>
        </references>
      </pivotArea>
    </format>
    <format dxfId="716">
      <pivotArea field="0" dataOnly="0" labelOnly="1" grandRow="1" outline="0" axis="axisRow" fieldPosition="0">
        <references count="1">
          <reference field="4294967294" count="1" selected="0">
            <x v="30"/>
          </reference>
        </references>
      </pivotArea>
    </format>
    <format dxfId="715">
      <pivotArea field="0" dataOnly="0" labelOnly="1" grandRow="1" outline="0" axis="axisRow" fieldPosition="0">
        <references count="1">
          <reference field="4294967294" count="1" selected="0">
            <x v="31"/>
          </reference>
        </references>
      </pivotArea>
    </format>
    <format dxfId="714">
      <pivotArea field="0" dataOnly="0" labelOnly="1" grandRow="1" outline="0" axis="axisRow" fieldPosition="0">
        <references count="1">
          <reference field="4294967294" count="1" selected="0">
            <x v="32"/>
          </reference>
        </references>
      </pivotArea>
    </format>
    <format dxfId="713">
      <pivotArea field="0" dataOnly="0" labelOnly="1" grandRow="1" outline="0" axis="axisRow" fieldPosition="0">
        <references count="1">
          <reference field="4294967294" count="1" selected="0">
            <x v="33"/>
          </reference>
        </references>
      </pivotArea>
    </format>
    <format dxfId="712">
      <pivotArea field="0" dataOnly="0" labelOnly="1" grandRow="1" outline="0" axis="axisRow" fieldPosition="0">
        <references count="1">
          <reference field="4294967294" count="1" selected="0">
            <x v="34"/>
          </reference>
        </references>
      </pivotArea>
    </format>
    <format dxfId="711">
      <pivotArea field="0" dataOnly="0" labelOnly="1" grandRow="1" outline="0" axis="axisRow" fieldPosition="0">
        <references count="1">
          <reference field="4294967294" count="1" selected="0">
            <x v="35"/>
          </reference>
        </references>
      </pivotArea>
    </format>
    <format dxfId="710">
      <pivotArea field="0" dataOnly="0" labelOnly="1" grandRow="1" outline="0" axis="axisRow" fieldPosition="0">
        <references count="1">
          <reference field="4294967294" count="1" selected="0">
            <x v="0"/>
          </reference>
        </references>
      </pivotArea>
    </format>
    <format dxfId="709">
      <pivotArea field="0" dataOnly="0" labelOnly="1" grandRow="1" outline="0" axis="axisRow" fieldPosition="0">
        <references count="1">
          <reference field="4294967294" count="1" selected="0">
            <x v="1"/>
          </reference>
        </references>
      </pivotArea>
    </format>
    <format dxfId="708">
      <pivotArea field="0" dataOnly="0" labelOnly="1" grandRow="1" outline="0" axis="axisRow" fieldPosition="0">
        <references count="1">
          <reference field="4294967294" count="1" selected="0">
            <x v="2"/>
          </reference>
        </references>
      </pivotArea>
    </format>
    <format dxfId="707">
      <pivotArea field="0" dataOnly="0" labelOnly="1" grandRow="1" outline="0" axis="axisRow" fieldPosition="0">
        <references count="1">
          <reference field="4294967294" count="1" selected="0">
            <x v="3"/>
          </reference>
        </references>
      </pivotArea>
    </format>
    <format dxfId="706">
      <pivotArea field="0" dataOnly="0" labelOnly="1" grandRow="1" outline="0" axis="axisRow" fieldPosition="0">
        <references count="1">
          <reference field="4294967294" count="1" selected="0">
            <x v="4"/>
          </reference>
        </references>
      </pivotArea>
    </format>
    <format dxfId="705">
      <pivotArea field="0" dataOnly="0" labelOnly="1" grandRow="1" outline="0" axis="axisRow" fieldPosition="0">
        <references count="1">
          <reference field="4294967294" count="1" selected="0">
            <x v="5"/>
          </reference>
        </references>
      </pivotArea>
    </format>
    <format dxfId="704">
      <pivotArea field="0" dataOnly="0" labelOnly="1" grandRow="1" outline="0" axis="axisRow" fieldPosition="0">
        <references count="1">
          <reference field="4294967294" count="1" selected="0">
            <x v="6"/>
          </reference>
        </references>
      </pivotArea>
    </format>
    <format dxfId="703">
      <pivotArea field="0" dataOnly="0" labelOnly="1" grandRow="1" outline="0" axis="axisRow" fieldPosition="0">
        <references count="1">
          <reference field="4294967294" count="1" selected="0">
            <x v="7"/>
          </reference>
        </references>
      </pivotArea>
    </format>
    <format dxfId="702">
      <pivotArea field="0" dataOnly="0" labelOnly="1" grandRow="1" outline="0" axis="axisRow" fieldPosition="0">
        <references count="1">
          <reference field="4294967294" count="1" selected="0">
            <x v="8"/>
          </reference>
        </references>
      </pivotArea>
    </format>
    <format dxfId="701">
      <pivotArea field="0" dataOnly="0" labelOnly="1" grandRow="1" outline="0" axis="axisRow" fieldPosition="0">
        <references count="1">
          <reference field="4294967294" count="1" selected="0">
            <x v="9"/>
          </reference>
        </references>
      </pivotArea>
    </format>
    <format dxfId="700">
      <pivotArea field="0" dataOnly="0" labelOnly="1" grandRow="1" outline="0" axis="axisRow" fieldPosition="0">
        <references count="1">
          <reference field="4294967294" count="1" selected="0">
            <x v="10"/>
          </reference>
        </references>
      </pivotArea>
    </format>
    <format dxfId="699">
      <pivotArea field="0" dataOnly="0" labelOnly="1" grandRow="1" outline="0" axis="axisRow" fieldPosition="0">
        <references count="1">
          <reference field="4294967294" count="1" selected="0">
            <x v="11"/>
          </reference>
        </references>
      </pivotArea>
    </format>
    <format dxfId="698">
      <pivotArea field="0" dataOnly="0" labelOnly="1" grandRow="1" outline="0" axis="axisRow" fieldPosition="0">
        <references count="1">
          <reference field="4294967294" count="1" selected="0">
            <x v="12"/>
          </reference>
        </references>
      </pivotArea>
    </format>
    <format dxfId="697">
      <pivotArea field="0" dataOnly="0" labelOnly="1" grandRow="1" outline="0" axis="axisRow" fieldPosition="0">
        <references count="1">
          <reference field="4294967294" count="1" selected="0">
            <x v="13"/>
          </reference>
        </references>
      </pivotArea>
    </format>
    <format dxfId="696">
      <pivotArea field="0" dataOnly="0" labelOnly="1" grandRow="1" outline="0" axis="axisRow" fieldPosition="0">
        <references count="1">
          <reference field="4294967294" count="1" selected="0">
            <x v="14"/>
          </reference>
        </references>
      </pivotArea>
    </format>
    <format dxfId="695">
      <pivotArea field="0" dataOnly="0" labelOnly="1" grandRow="1" outline="0" axis="axisRow" fieldPosition="0">
        <references count="1">
          <reference field="4294967294" count="1" selected="0">
            <x v="15"/>
          </reference>
        </references>
      </pivotArea>
    </format>
    <format dxfId="694">
      <pivotArea field="0" dataOnly="0" labelOnly="1" grandRow="1" outline="0" axis="axisRow" fieldPosition="0">
        <references count="1">
          <reference field="4294967294" count="1" selected="0">
            <x v="16"/>
          </reference>
        </references>
      </pivotArea>
    </format>
    <format dxfId="693">
      <pivotArea field="0" dataOnly="0" labelOnly="1" grandRow="1" outline="0" axis="axisRow" fieldPosition="0">
        <references count="1">
          <reference field="4294967294" count="1" selected="0">
            <x v="17"/>
          </reference>
        </references>
      </pivotArea>
    </format>
    <format dxfId="692">
      <pivotArea field="0" dataOnly="0" labelOnly="1" grandRow="1" outline="0" axis="axisRow" fieldPosition="0">
        <references count="1">
          <reference field="4294967294" count="1" selected="0">
            <x v="18"/>
          </reference>
        </references>
      </pivotArea>
    </format>
    <format dxfId="691">
      <pivotArea field="0" dataOnly="0" labelOnly="1" grandRow="1" outline="0" axis="axisRow" fieldPosition="0">
        <references count="1">
          <reference field="4294967294" count="1" selected="0">
            <x v="19"/>
          </reference>
        </references>
      </pivotArea>
    </format>
    <format dxfId="690">
      <pivotArea field="0" dataOnly="0" labelOnly="1" grandRow="1" outline="0" axis="axisRow" fieldPosition="0">
        <references count="1">
          <reference field="4294967294" count="1" selected="0">
            <x v="20"/>
          </reference>
        </references>
      </pivotArea>
    </format>
    <format dxfId="689">
      <pivotArea field="0" dataOnly="0" labelOnly="1" grandRow="1" outline="0" axis="axisRow" fieldPosition="0">
        <references count="1">
          <reference field="4294967294" count="1" selected="0">
            <x v="21"/>
          </reference>
        </references>
      </pivotArea>
    </format>
    <format dxfId="688">
      <pivotArea field="0" dataOnly="0" labelOnly="1" grandRow="1" outline="0" axis="axisRow" fieldPosition="0">
        <references count="1">
          <reference field="4294967294" count="1" selected="0">
            <x v="22"/>
          </reference>
        </references>
      </pivotArea>
    </format>
    <format dxfId="687">
      <pivotArea field="0" dataOnly="0" labelOnly="1" grandRow="1" outline="0" axis="axisRow" fieldPosition="0">
        <references count="1">
          <reference field="4294967294" count="1" selected="0">
            <x v="23"/>
          </reference>
        </references>
      </pivotArea>
    </format>
    <format dxfId="686">
      <pivotArea field="0" dataOnly="0" labelOnly="1" grandRow="1" outline="0" axis="axisRow" fieldPosition="0">
        <references count="1">
          <reference field="4294967294" count="1" selected="0">
            <x v="24"/>
          </reference>
        </references>
      </pivotArea>
    </format>
    <format dxfId="685">
      <pivotArea field="0" dataOnly="0" labelOnly="1" grandRow="1" outline="0" axis="axisRow" fieldPosition="0">
        <references count="1">
          <reference field="4294967294" count="1" selected="0">
            <x v="25"/>
          </reference>
        </references>
      </pivotArea>
    </format>
    <format dxfId="684">
      <pivotArea field="0" dataOnly="0" labelOnly="1" grandRow="1" outline="0" axis="axisRow" fieldPosition="0">
        <references count="1">
          <reference field="4294967294" count="1" selected="0">
            <x v="26"/>
          </reference>
        </references>
      </pivotArea>
    </format>
    <format dxfId="683">
      <pivotArea field="0" dataOnly="0" labelOnly="1" grandRow="1" outline="0" axis="axisRow" fieldPosition="0">
        <references count="1">
          <reference field="4294967294" count="1" selected="0">
            <x v="27"/>
          </reference>
        </references>
      </pivotArea>
    </format>
    <format dxfId="682">
      <pivotArea field="0" dataOnly="0" labelOnly="1" grandRow="1" outline="0" axis="axisRow" fieldPosition="0">
        <references count="1">
          <reference field="4294967294" count="1" selected="0">
            <x v="28"/>
          </reference>
        </references>
      </pivotArea>
    </format>
    <format dxfId="681">
      <pivotArea field="0" dataOnly="0" labelOnly="1" grandRow="1" outline="0" axis="axisRow" fieldPosition="0">
        <references count="1">
          <reference field="4294967294" count="1" selected="0">
            <x v="29"/>
          </reference>
        </references>
      </pivotArea>
    </format>
    <format dxfId="680">
      <pivotArea field="0" dataOnly="0" labelOnly="1" grandRow="1" outline="0" axis="axisRow" fieldPosition="0">
        <references count="1">
          <reference field="4294967294" count="1" selected="0">
            <x v="30"/>
          </reference>
        </references>
      </pivotArea>
    </format>
    <format dxfId="679">
      <pivotArea field="0" dataOnly="0" labelOnly="1" grandRow="1" outline="0" axis="axisRow" fieldPosition="0">
        <references count="1">
          <reference field="4294967294" count="1" selected="0">
            <x v="31"/>
          </reference>
        </references>
      </pivotArea>
    </format>
    <format dxfId="678">
      <pivotArea field="0" dataOnly="0" labelOnly="1" grandRow="1" outline="0" axis="axisRow" fieldPosition="0">
        <references count="1">
          <reference field="4294967294" count="1" selected="0">
            <x v="32"/>
          </reference>
        </references>
      </pivotArea>
    </format>
    <format dxfId="677">
      <pivotArea field="0" dataOnly="0" labelOnly="1" grandRow="1" outline="0" axis="axisRow" fieldPosition="0">
        <references count="1">
          <reference field="4294967294" count="1" selected="0">
            <x v="33"/>
          </reference>
        </references>
      </pivotArea>
    </format>
    <format dxfId="676">
      <pivotArea field="0" dataOnly="0" labelOnly="1" grandRow="1" outline="0" axis="axisRow" fieldPosition="0">
        <references count="1">
          <reference field="4294967294" count="1" selected="0">
            <x v="34"/>
          </reference>
        </references>
      </pivotArea>
    </format>
    <format dxfId="675">
      <pivotArea field="0" dataOnly="0" labelOnly="1" grandRow="1" outline="0" axis="axisRow" fieldPosition="0">
        <references count="1">
          <reference field="4294967294" count="1" selected="0">
            <x v="35"/>
          </reference>
        </references>
      </pivotArea>
    </format>
    <format dxfId="674">
      <pivotArea field="0" dataOnly="0" labelOnly="1" grandRow="1" outline="0" axis="axisRow" fieldPosition="0">
        <references count="1">
          <reference field="4294967294" count="1" selected="0">
            <x v="0"/>
          </reference>
        </references>
      </pivotArea>
    </format>
    <format dxfId="673">
      <pivotArea field="0" dataOnly="0" labelOnly="1" grandRow="1" outline="0" axis="axisRow" fieldPosition="0">
        <references count="1">
          <reference field="4294967294" count="1" selected="0">
            <x v="1"/>
          </reference>
        </references>
      </pivotArea>
    </format>
    <format dxfId="672">
      <pivotArea field="0" dataOnly="0" labelOnly="1" grandRow="1" outline="0" axis="axisRow" fieldPosition="0">
        <references count="1">
          <reference field="4294967294" count="1" selected="0">
            <x v="2"/>
          </reference>
        </references>
      </pivotArea>
    </format>
    <format dxfId="671">
      <pivotArea field="0" dataOnly="0" labelOnly="1" grandRow="1" outline="0" axis="axisRow" fieldPosition="0">
        <references count="1">
          <reference field="4294967294" count="1" selected="0">
            <x v="3"/>
          </reference>
        </references>
      </pivotArea>
    </format>
    <format dxfId="670">
      <pivotArea field="0" dataOnly="0" labelOnly="1" grandRow="1" outline="0" axis="axisRow" fieldPosition="0">
        <references count="1">
          <reference field="4294967294" count="1" selected="0">
            <x v="4"/>
          </reference>
        </references>
      </pivotArea>
    </format>
    <format dxfId="669">
      <pivotArea field="0" dataOnly="0" labelOnly="1" grandRow="1" outline="0" axis="axisRow" fieldPosition="0">
        <references count="1">
          <reference field="4294967294" count="1" selected="0">
            <x v="5"/>
          </reference>
        </references>
      </pivotArea>
    </format>
    <format dxfId="668">
      <pivotArea field="0" dataOnly="0" labelOnly="1" grandRow="1" outline="0" axis="axisRow" fieldPosition="0">
        <references count="1">
          <reference field="4294967294" count="1" selected="0">
            <x v="6"/>
          </reference>
        </references>
      </pivotArea>
    </format>
    <format dxfId="667">
      <pivotArea field="0" dataOnly="0" labelOnly="1" grandRow="1" outline="0" axis="axisRow" fieldPosition="0">
        <references count="1">
          <reference field="4294967294" count="1" selected="0">
            <x v="7"/>
          </reference>
        </references>
      </pivotArea>
    </format>
    <format dxfId="666">
      <pivotArea field="0" dataOnly="0" labelOnly="1" grandRow="1" outline="0" axis="axisRow" fieldPosition="0">
        <references count="1">
          <reference field="4294967294" count="1" selected="0">
            <x v="8"/>
          </reference>
        </references>
      </pivotArea>
    </format>
    <format dxfId="665">
      <pivotArea field="0" dataOnly="0" labelOnly="1" grandRow="1" outline="0" axis="axisRow" fieldPosition="0">
        <references count="1">
          <reference field="4294967294" count="1" selected="0">
            <x v="9"/>
          </reference>
        </references>
      </pivotArea>
    </format>
    <format dxfId="664">
      <pivotArea field="0" dataOnly="0" labelOnly="1" grandRow="1" outline="0" axis="axisRow" fieldPosition="0">
        <references count="1">
          <reference field="4294967294" count="1" selected="0">
            <x v="10"/>
          </reference>
        </references>
      </pivotArea>
    </format>
    <format dxfId="663">
      <pivotArea field="0" dataOnly="0" labelOnly="1" grandRow="1" outline="0" axis="axisRow" fieldPosition="0">
        <references count="1">
          <reference field="4294967294" count="1" selected="0">
            <x v="11"/>
          </reference>
        </references>
      </pivotArea>
    </format>
    <format dxfId="662">
      <pivotArea field="0" dataOnly="0" labelOnly="1" grandRow="1" outline="0" axis="axisRow" fieldPosition="0">
        <references count="1">
          <reference field="4294967294" count="1" selected="0">
            <x v="12"/>
          </reference>
        </references>
      </pivotArea>
    </format>
    <format dxfId="661">
      <pivotArea field="0" dataOnly="0" labelOnly="1" grandRow="1" outline="0" axis="axisRow" fieldPosition="0">
        <references count="1">
          <reference field="4294967294" count="1" selected="0">
            <x v="13"/>
          </reference>
        </references>
      </pivotArea>
    </format>
    <format dxfId="660">
      <pivotArea field="0" dataOnly="0" labelOnly="1" grandRow="1" outline="0" axis="axisRow" fieldPosition="0">
        <references count="1">
          <reference field="4294967294" count="1" selected="0">
            <x v="14"/>
          </reference>
        </references>
      </pivotArea>
    </format>
    <format dxfId="659">
      <pivotArea field="0" dataOnly="0" labelOnly="1" grandRow="1" outline="0" axis="axisRow" fieldPosition="0">
        <references count="1">
          <reference field="4294967294" count="1" selected="0">
            <x v="15"/>
          </reference>
        </references>
      </pivotArea>
    </format>
    <format dxfId="658">
      <pivotArea field="0" dataOnly="0" labelOnly="1" grandRow="1" outline="0" axis="axisRow" fieldPosition="0">
        <references count="1">
          <reference field="4294967294" count="1" selected="0">
            <x v="16"/>
          </reference>
        </references>
      </pivotArea>
    </format>
    <format dxfId="657">
      <pivotArea field="0" dataOnly="0" labelOnly="1" grandRow="1" outline="0" axis="axisRow" fieldPosition="0">
        <references count="1">
          <reference field="4294967294" count="1" selected="0">
            <x v="17"/>
          </reference>
        </references>
      </pivotArea>
    </format>
    <format dxfId="656">
      <pivotArea field="0" dataOnly="0" labelOnly="1" grandRow="1" outline="0" axis="axisRow" fieldPosition="0">
        <references count="1">
          <reference field="4294967294" count="1" selected="0">
            <x v="18"/>
          </reference>
        </references>
      </pivotArea>
    </format>
    <format dxfId="655">
      <pivotArea field="0" dataOnly="0" labelOnly="1" grandRow="1" outline="0" axis="axisRow" fieldPosition="0">
        <references count="1">
          <reference field="4294967294" count="1" selected="0">
            <x v="19"/>
          </reference>
        </references>
      </pivotArea>
    </format>
    <format dxfId="654">
      <pivotArea field="0" dataOnly="0" labelOnly="1" grandRow="1" outline="0" axis="axisRow" fieldPosition="0">
        <references count="1">
          <reference field="4294967294" count="1" selected="0">
            <x v="20"/>
          </reference>
        </references>
      </pivotArea>
    </format>
    <format dxfId="653">
      <pivotArea field="0" dataOnly="0" labelOnly="1" grandRow="1" outline="0" axis="axisRow" fieldPosition="0">
        <references count="1">
          <reference field="4294967294" count="1" selected="0">
            <x v="21"/>
          </reference>
        </references>
      </pivotArea>
    </format>
    <format dxfId="652">
      <pivotArea field="0" dataOnly="0" labelOnly="1" grandRow="1" outline="0" axis="axisRow" fieldPosition="0">
        <references count="1">
          <reference field="4294967294" count="1" selected="0">
            <x v="22"/>
          </reference>
        </references>
      </pivotArea>
    </format>
    <format dxfId="651">
      <pivotArea field="0" dataOnly="0" labelOnly="1" grandRow="1" outline="0" axis="axisRow" fieldPosition="0">
        <references count="1">
          <reference field="4294967294" count="1" selected="0">
            <x v="23"/>
          </reference>
        </references>
      </pivotArea>
    </format>
    <format dxfId="650">
      <pivotArea field="0" dataOnly="0" labelOnly="1" grandRow="1" outline="0" axis="axisRow" fieldPosition="0">
        <references count="1">
          <reference field="4294967294" count="1" selected="0">
            <x v="24"/>
          </reference>
        </references>
      </pivotArea>
    </format>
    <format dxfId="649">
      <pivotArea field="0" dataOnly="0" labelOnly="1" grandRow="1" outline="0" axis="axisRow" fieldPosition="0">
        <references count="1">
          <reference field="4294967294" count="1" selected="0">
            <x v="25"/>
          </reference>
        </references>
      </pivotArea>
    </format>
    <format dxfId="648">
      <pivotArea field="0" dataOnly="0" labelOnly="1" grandRow="1" outline="0" axis="axisRow" fieldPosition="0">
        <references count="1">
          <reference field="4294967294" count="1" selected="0">
            <x v="26"/>
          </reference>
        </references>
      </pivotArea>
    </format>
    <format dxfId="647">
      <pivotArea field="0" dataOnly="0" labelOnly="1" grandRow="1" outline="0" axis="axisRow" fieldPosition="0">
        <references count="1">
          <reference field="4294967294" count="1" selected="0">
            <x v="27"/>
          </reference>
        </references>
      </pivotArea>
    </format>
    <format dxfId="646">
      <pivotArea field="0" dataOnly="0" labelOnly="1" grandRow="1" outline="0" axis="axisRow" fieldPosition="0">
        <references count="1">
          <reference field="4294967294" count="1" selected="0">
            <x v="28"/>
          </reference>
        </references>
      </pivotArea>
    </format>
    <format dxfId="645">
      <pivotArea field="0" dataOnly="0" labelOnly="1" grandRow="1" outline="0" axis="axisRow" fieldPosition="0">
        <references count="1">
          <reference field="4294967294" count="1" selected="0">
            <x v="29"/>
          </reference>
        </references>
      </pivotArea>
    </format>
    <format dxfId="644">
      <pivotArea field="0" dataOnly="0" labelOnly="1" grandRow="1" outline="0" axis="axisRow" fieldPosition="0">
        <references count="1">
          <reference field="4294967294" count="1" selected="0">
            <x v="30"/>
          </reference>
        </references>
      </pivotArea>
    </format>
    <format dxfId="643">
      <pivotArea field="0" dataOnly="0" labelOnly="1" grandRow="1" outline="0" axis="axisRow" fieldPosition="0">
        <references count="1">
          <reference field="4294967294" count="1" selected="0">
            <x v="31"/>
          </reference>
        </references>
      </pivotArea>
    </format>
    <format dxfId="642">
      <pivotArea field="0" dataOnly="0" labelOnly="1" grandRow="1" outline="0" axis="axisRow" fieldPosition="0">
        <references count="1">
          <reference field="4294967294" count="1" selected="0">
            <x v="32"/>
          </reference>
        </references>
      </pivotArea>
    </format>
    <format dxfId="641">
      <pivotArea field="0" dataOnly="0" labelOnly="1" grandRow="1" outline="0" axis="axisRow" fieldPosition="0">
        <references count="1">
          <reference field="4294967294" count="1" selected="0">
            <x v="33"/>
          </reference>
        </references>
      </pivotArea>
    </format>
    <format dxfId="640">
      <pivotArea field="0" dataOnly="0" labelOnly="1" grandRow="1" outline="0" axis="axisRow" fieldPosition="0">
        <references count="1">
          <reference field="4294967294" count="1" selected="0">
            <x v="34"/>
          </reference>
        </references>
      </pivotArea>
    </format>
    <format dxfId="639">
      <pivotArea field="0" dataOnly="0" labelOnly="1" grandRow="1" outline="0" axis="axisRow" fieldPosition="0">
        <references count="1">
          <reference field="4294967294" count="1" selected="0">
            <x v="35"/>
          </reference>
        </references>
      </pivotArea>
    </format>
    <format dxfId="638">
      <pivotArea field="0" dataOnly="0" labelOnly="1" grandRow="1" outline="0" axis="axisRow" fieldPosition="0">
        <references count="1">
          <reference field="4294967294" count="1" selected="0">
            <x v="0"/>
          </reference>
        </references>
      </pivotArea>
    </format>
    <format dxfId="637">
      <pivotArea field="0" dataOnly="0" labelOnly="1" grandRow="1" outline="0" axis="axisRow" fieldPosition="0">
        <references count="1">
          <reference field="4294967294" count="1" selected="0">
            <x v="1"/>
          </reference>
        </references>
      </pivotArea>
    </format>
    <format dxfId="636">
      <pivotArea field="0" dataOnly="0" labelOnly="1" grandRow="1" outline="0" axis="axisRow" fieldPosition="0">
        <references count="1">
          <reference field="4294967294" count="1" selected="0">
            <x v="2"/>
          </reference>
        </references>
      </pivotArea>
    </format>
    <format dxfId="635">
      <pivotArea field="0" dataOnly="0" labelOnly="1" grandRow="1" outline="0" axis="axisRow" fieldPosition="0">
        <references count="1">
          <reference field="4294967294" count="1" selected="0">
            <x v="3"/>
          </reference>
        </references>
      </pivotArea>
    </format>
    <format dxfId="634">
      <pivotArea field="0" dataOnly="0" labelOnly="1" grandRow="1" outline="0" axis="axisRow" fieldPosition="0">
        <references count="1">
          <reference field="4294967294" count="1" selected="0">
            <x v="4"/>
          </reference>
        </references>
      </pivotArea>
    </format>
    <format dxfId="633">
      <pivotArea field="0" dataOnly="0" labelOnly="1" grandRow="1" outline="0" axis="axisRow" fieldPosition="0">
        <references count="1">
          <reference field="4294967294" count="1" selected="0">
            <x v="5"/>
          </reference>
        </references>
      </pivotArea>
    </format>
    <format dxfId="632">
      <pivotArea field="0" dataOnly="0" labelOnly="1" grandRow="1" outline="0" axis="axisRow" fieldPosition="0">
        <references count="1">
          <reference field="4294967294" count="1" selected="0">
            <x v="6"/>
          </reference>
        </references>
      </pivotArea>
    </format>
    <format dxfId="631">
      <pivotArea field="0" dataOnly="0" labelOnly="1" grandRow="1" outline="0" axis="axisRow" fieldPosition="0">
        <references count="1">
          <reference field="4294967294" count="1" selected="0">
            <x v="7"/>
          </reference>
        </references>
      </pivotArea>
    </format>
    <format dxfId="630">
      <pivotArea field="0" dataOnly="0" labelOnly="1" grandRow="1" outline="0" axis="axisRow" fieldPosition="0">
        <references count="1">
          <reference field="4294967294" count="1" selected="0">
            <x v="8"/>
          </reference>
        </references>
      </pivotArea>
    </format>
    <format dxfId="629">
      <pivotArea field="0" dataOnly="0" labelOnly="1" grandRow="1" outline="0" axis="axisRow" fieldPosition="0">
        <references count="1">
          <reference field="4294967294" count="1" selected="0">
            <x v="9"/>
          </reference>
        </references>
      </pivotArea>
    </format>
    <format dxfId="628">
      <pivotArea field="0" dataOnly="0" labelOnly="1" grandRow="1" outline="0" axis="axisRow" fieldPosition="0">
        <references count="1">
          <reference field="4294967294" count="1" selected="0">
            <x v="10"/>
          </reference>
        </references>
      </pivotArea>
    </format>
    <format dxfId="627">
      <pivotArea field="0" dataOnly="0" labelOnly="1" grandRow="1" outline="0" axis="axisRow" fieldPosition="0">
        <references count="1">
          <reference field="4294967294" count="1" selected="0">
            <x v="11"/>
          </reference>
        </references>
      </pivotArea>
    </format>
    <format dxfId="626">
      <pivotArea field="0" dataOnly="0" labelOnly="1" grandRow="1" outline="0" axis="axisRow" fieldPosition="0">
        <references count="1">
          <reference field="4294967294" count="1" selected="0">
            <x v="12"/>
          </reference>
        </references>
      </pivotArea>
    </format>
    <format dxfId="625">
      <pivotArea field="0" dataOnly="0" labelOnly="1" grandRow="1" outline="0" axis="axisRow" fieldPosition="0">
        <references count="1">
          <reference field="4294967294" count="1" selected="0">
            <x v="13"/>
          </reference>
        </references>
      </pivotArea>
    </format>
    <format dxfId="624">
      <pivotArea field="0" dataOnly="0" labelOnly="1" grandRow="1" outline="0" axis="axisRow" fieldPosition="0">
        <references count="1">
          <reference field="4294967294" count="1" selected="0">
            <x v="14"/>
          </reference>
        </references>
      </pivotArea>
    </format>
    <format dxfId="623">
      <pivotArea field="0" dataOnly="0" labelOnly="1" grandRow="1" outline="0" axis="axisRow" fieldPosition="0">
        <references count="1">
          <reference field="4294967294" count="1" selected="0">
            <x v="15"/>
          </reference>
        </references>
      </pivotArea>
    </format>
    <format dxfId="622">
      <pivotArea field="0" dataOnly="0" labelOnly="1" grandRow="1" outline="0" axis="axisRow" fieldPosition="0">
        <references count="1">
          <reference field="4294967294" count="1" selected="0">
            <x v="16"/>
          </reference>
        </references>
      </pivotArea>
    </format>
    <format dxfId="621">
      <pivotArea field="0" dataOnly="0" labelOnly="1" grandRow="1" outline="0" axis="axisRow" fieldPosition="0">
        <references count="1">
          <reference field="4294967294" count="1" selected="0">
            <x v="17"/>
          </reference>
        </references>
      </pivotArea>
    </format>
    <format dxfId="620">
      <pivotArea field="0" dataOnly="0" labelOnly="1" grandRow="1" outline="0" axis="axisRow" fieldPosition="0">
        <references count="1">
          <reference field="4294967294" count="1" selected="0">
            <x v="18"/>
          </reference>
        </references>
      </pivotArea>
    </format>
    <format dxfId="619">
      <pivotArea field="0" dataOnly="0" labelOnly="1" grandRow="1" outline="0" axis="axisRow" fieldPosition="0">
        <references count="1">
          <reference field="4294967294" count="1" selected="0">
            <x v="19"/>
          </reference>
        </references>
      </pivotArea>
    </format>
    <format dxfId="618">
      <pivotArea field="0" dataOnly="0" labelOnly="1" grandRow="1" outline="0" axis="axisRow" fieldPosition="0">
        <references count="1">
          <reference field="4294967294" count="1" selected="0">
            <x v="20"/>
          </reference>
        </references>
      </pivotArea>
    </format>
    <format dxfId="617">
      <pivotArea field="0" dataOnly="0" labelOnly="1" grandRow="1" outline="0" axis="axisRow" fieldPosition="0">
        <references count="1">
          <reference field="4294967294" count="1" selected="0">
            <x v="21"/>
          </reference>
        </references>
      </pivotArea>
    </format>
    <format dxfId="616">
      <pivotArea field="0" dataOnly="0" labelOnly="1" grandRow="1" outline="0" axis="axisRow" fieldPosition="0">
        <references count="1">
          <reference field="4294967294" count="1" selected="0">
            <x v="22"/>
          </reference>
        </references>
      </pivotArea>
    </format>
    <format dxfId="615">
      <pivotArea field="0" dataOnly="0" labelOnly="1" grandRow="1" outline="0" axis="axisRow" fieldPosition="0">
        <references count="1">
          <reference field="4294967294" count="1" selected="0">
            <x v="23"/>
          </reference>
        </references>
      </pivotArea>
    </format>
    <format dxfId="614">
      <pivotArea field="0" dataOnly="0" labelOnly="1" grandRow="1" outline="0" axis="axisRow" fieldPosition="0">
        <references count="1">
          <reference field="4294967294" count="1" selected="0">
            <x v="24"/>
          </reference>
        </references>
      </pivotArea>
    </format>
    <format dxfId="613">
      <pivotArea field="0" dataOnly="0" labelOnly="1" grandRow="1" outline="0" axis="axisRow" fieldPosition="0">
        <references count="1">
          <reference field="4294967294" count="1" selected="0">
            <x v="25"/>
          </reference>
        </references>
      </pivotArea>
    </format>
    <format dxfId="612">
      <pivotArea field="0" dataOnly="0" labelOnly="1" grandRow="1" outline="0" axis="axisRow" fieldPosition="0">
        <references count="1">
          <reference field="4294967294" count="1" selected="0">
            <x v="26"/>
          </reference>
        </references>
      </pivotArea>
    </format>
    <format dxfId="611">
      <pivotArea field="0" dataOnly="0" labelOnly="1" grandRow="1" outline="0" axis="axisRow" fieldPosition="0">
        <references count="1">
          <reference field="4294967294" count="1" selected="0">
            <x v="27"/>
          </reference>
        </references>
      </pivotArea>
    </format>
    <format dxfId="610">
      <pivotArea field="0" dataOnly="0" labelOnly="1" grandRow="1" outline="0" axis="axisRow" fieldPosition="0">
        <references count="1">
          <reference field="4294967294" count="1" selected="0">
            <x v="28"/>
          </reference>
        </references>
      </pivotArea>
    </format>
    <format dxfId="609">
      <pivotArea field="0" dataOnly="0" labelOnly="1" grandRow="1" outline="0" axis="axisRow" fieldPosition="0">
        <references count="1">
          <reference field="4294967294" count="1" selected="0">
            <x v="29"/>
          </reference>
        </references>
      </pivotArea>
    </format>
    <format dxfId="608">
      <pivotArea field="0" dataOnly="0" labelOnly="1" grandRow="1" outline="0" axis="axisRow" fieldPosition="0">
        <references count="1">
          <reference field="4294967294" count="1" selected="0">
            <x v="30"/>
          </reference>
        </references>
      </pivotArea>
    </format>
    <format dxfId="607">
      <pivotArea field="0" dataOnly="0" labelOnly="1" grandRow="1" outline="0" axis="axisRow" fieldPosition="0">
        <references count="1">
          <reference field="4294967294" count="1" selected="0">
            <x v="31"/>
          </reference>
        </references>
      </pivotArea>
    </format>
    <format dxfId="606">
      <pivotArea field="0" dataOnly="0" labelOnly="1" grandRow="1" outline="0" axis="axisRow" fieldPosition="0">
        <references count="1">
          <reference field="4294967294" count="1" selected="0">
            <x v="32"/>
          </reference>
        </references>
      </pivotArea>
    </format>
    <format dxfId="605">
      <pivotArea field="0" dataOnly="0" labelOnly="1" grandRow="1" outline="0" axis="axisRow" fieldPosition="0">
        <references count="1">
          <reference field="4294967294" count="1" selected="0">
            <x v="33"/>
          </reference>
        </references>
      </pivotArea>
    </format>
    <format dxfId="604">
      <pivotArea field="0" dataOnly="0" labelOnly="1" grandRow="1" outline="0" axis="axisRow" fieldPosition="0">
        <references count="1">
          <reference field="4294967294" count="1" selected="0">
            <x v="34"/>
          </reference>
        </references>
      </pivotArea>
    </format>
    <format dxfId="603">
      <pivotArea field="0" dataOnly="0" labelOnly="1" grandRow="1" outline="0" axis="axisRow" fieldPosition="0">
        <references count="1">
          <reference field="4294967294" count="1" selected="0">
            <x v="35"/>
          </reference>
        </references>
      </pivotArea>
    </format>
    <format dxfId="602">
      <pivotArea field="0" dataOnly="0" labelOnly="1" grandRow="1" outline="0" axis="axisRow" fieldPosition="0">
        <references count="1">
          <reference field="4294967294" count="1" selected="0">
            <x v="0"/>
          </reference>
        </references>
      </pivotArea>
    </format>
    <format dxfId="601">
      <pivotArea field="0" dataOnly="0" labelOnly="1" grandRow="1" outline="0" axis="axisRow" fieldPosition="0">
        <references count="1">
          <reference field="4294967294" count="1" selected="0">
            <x v="1"/>
          </reference>
        </references>
      </pivotArea>
    </format>
    <format dxfId="600">
      <pivotArea field="0" dataOnly="0" labelOnly="1" grandRow="1" outline="0" axis="axisRow" fieldPosition="0">
        <references count="1">
          <reference field="4294967294" count="1" selected="0">
            <x v="2"/>
          </reference>
        </references>
      </pivotArea>
    </format>
    <format dxfId="599">
      <pivotArea field="0" dataOnly="0" labelOnly="1" grandRow="1" outline="0" axis="axisRow" fieldPosition="0">
        <references count="1">
          <reference field="4294967294" count="1" selected="0">
            <x v="3"/>
          </reference>
        </references>
      </pivotArea>
    </format>
    <format dxfId="598">
      <pivotArea field="0" dataOnly="0" labelOnly="1" grandRow="1" outline="0" axis="axisRow" fieldPosition="0">
        <references count="1">
          <reference field="4294967294" count="1" selected="0">
            <x v="4"/>
          </reference>
        </references>
      </pivotArea>
    </format>
    <format dxfId="597">
      <pivotArea field="0" dataOnly="0" labelOnly="1" grandRow="1" outline="0" axis="axisRow" fieldPosition="0">
        <references count="1">
          <reference field="4294967294" count="1" selected="0">
            <x v="5"/>
          </reference>
        </references>
      </pivotArea>
    </format>
    <format dxfId="596">
      <pivotArea field="0" dataOnly="0" labelOnly="1" grandRow="1" outline="0" axis="axisRow" fieldPosition="0">
        <references count="1">
          <reference field="4294967294" count="1" selected="0">
            <x v="6"/>
          </reference>
        </references>
      </pivotArea>
    </format>
    <format dxfId="595">
      <pivotArea field="0" dataOnly="0" labelOnly="1" grandRow="1" outline="0" axis="axisRow" fieldPosition="0">
        <references count="1">
          <reference field="4294967294" count="1" selected="0">
            <x v="7"/>
          </reference>
        </references>
      </pivotArea>
    </format>
    <format dxfId="594">
      <pivotArea field="0" dataOnly="0" labelOnly="1" grandRow="1" outline="0" axis="axisRow" fieldPosition="0">
        <references count="1">
          <reference field="4294967294" count="1" selected="0">
            <x v="8"/>
          </reference>
        </references>
      </pivotArea>
    </format>
    <format dxfId="593">
      <pivotArea field="0" dataOnly="0" labelOnly="1" grandRow="1" outline="0" axis="axisRow" fieldPosition="0">
        <references count="1">
          <reference field="4294967294" count="1" selected="0">
            <x v="9"/>
          </reference>
        </references>
      </pivotArea>
    </format>
    <format dxfId="592">
      <pivotArea field="0" dataOnly="0" labelOnly="1" grandRow="1" outline="0" axis="axisRow" fieldPosition="0">
        <references count="1">
          <reference field="4294967294" count="1" selected="0">
            <x v="10"/>
          </reference>
        </references>
      </pivotArea>
    </format>
    <format dxfId="591">
      <pivotArea field="0" dataOnly="0" labelOnly="1" grandRow="1" outline="0" axis="axisRow" fieldPosition="0">
        <references count="1">
          <reference field="4294967294" count="1" selected="0">
            <x v="11"/>
          </reference>
        </references>
      </pivotArea>
    </format>
    <format dxfId="590">
      <pivotArea field="0" dataOnly="0" labelOnly="1" grandRow="1" outline="0" axis="axisRow" fieldPosition="0">
        <references count="1">
          <reference field="4294967294" count="1" selected="0">
            <x v="12"/>
          </reference>
        </references>
      </pivotArea>
    </format>
    <format dxfId="589">
      <pivotArea field="0" dataOnly="0" labelOnly="1" grandRow="1" outline="0" axis="axisRow" fieldPosition="0">
        <references count="1">
          <reference field="4294967294" count="1" selected="0">
            <x v="13"/>
          </reference>
        </references>
      </pivotArea>
    </format>
    <format dxfId="588">
      <pivotArea field="0" dataOnly="0" labelOnly="1" grandRow="1" outline="0" axis="axisRow" fieldPosition="0">
        <references count="1">
          <reference field="4294967294" count="1" selected="0">
            <x v="14"/>
          </reference>
        </references>
      </pivotArea>
    </format>
    <format dxfId="587">
      <pivotArea field="0" dataOnly="0" labelOnly="1" grandRow="1" outline="0" axis="axisRow" fieldPosition="0">
        <references count="1">
          <reference field="4294967294" count="1" selected="0">
            <x v="15"/>
          </reference>
        </references>
      </pivotArea>
    </format>
    <format dxfId="586">
      <pivotArea field="0" dataOnly="0" labelOnly="1" grandRow="1" outline="0" axis="axisRow" fieldPosition="0">
        <references count="1">
          <reference field="4294967294" count="1" selected="0">
            <x v="16"/>
          </reference>
        </references>
      </pivotArea>
    </format>
    <format dxfId="585">
      <pivotArea field="0" dataOnly="0" labelOnly="1" grandRow="1" outline="0" axis="axisRow" fieldPosition="0">
        <references count="1">
          <reference field="4294967294" count="1" selected="0">
            <x v="17"/>
          </reference>
        </references>
      </pivotArea>
    </format>
    <format dxfId="584">
      <pivotArea field="0" dataOnly="0" labelOnly="1" grandRow="1" outline="0" axis="axisRow" fieldPosition="0">
        <references count="1">
          <reference field="4294967294" count="1" selected="0">
            <x v="18"/>
          </reference>
        </references>
      </pivotArea>
    </format>
    <format dxfId="583">
      <pivotArea field="0" dataOnly="0" labelOnly="1" grandRow="1" outline="0" axis="axisRow" fieldPosition="0">
        <references count="1">
          <reference field="4294967294" count="1" selected="0">
            <x v="19"/>
          </reference>
        </references>
      </pivotArea>
    </format>
    <format dxfId="582">
      <pivotArea field="0" dataOnly="0" labelOnly="1" grandRow="1" outline="0" axis="axisRow" fieldPosition="0">
        <references count="1">
          <reference field="4294967294" count="1" selected="0">
            <x v="20"/>
          </reference>
        </references>
      </pivotArea>
    </format>
    <format dxfId="581">
      <pivotArea field="0" dataOnly="0" labelOnly="1" grandRow="1" outline="0" axis="axisRow" fieldPosition="0">
        <references count="1">
          <reference field="4294967294" count="1" selected="0">
            <x v="21"/>
          </reference>
        </references>
      </pivotArea>
    </format>
    <format dxfId="580">
      <pivotArea field="0" dataOnly="0" labelOnly="1" grandRow="1" outline="0" axis="axisRow" fieldPosition="0">
        <references count="1">
          <reference field="4294967294" count="1" selected="0">
            <x v="22"/>
          </reference>
        </references>
      </pivotArea>
    </format>
    <format dxfId="579">
      <pivotArea field="0" dataOnly="0" labelOnly="1" grandRow="1" outline="0" axis="axisRow" fieldPosition="0">
        <references count="1">
          <reference field="4294967294" count="1" selected="0">
            <x v="23"/>
          </reference>
        </references>
      </pivotArea>
    </format>
    <format dxfId="578">
      <pivotArea field="0" dataOnly="0" labelOnly="1" grandRow="1" outline="0" axis="axisRow" fieldPosition="0">
        <references count="1">
          <reference field="4294967294" count="1" selected="0">
            <x v="24"/>
          </reference>
        </references>
      </pivotArea>
    </format>
    <format dxfId="577">
      <pivotArea field="0" dataOnly="0" labelOnly="1" grandRow="1" outline="0" axis="axisRow" fieldPosition="0">
        <references count="1">
          <reference field="4294967294" count="1" selected="0">
            <x v="25"/>
          </reference>
        </references>
      </pivotArea>
    </format>
    <format dxfId="576">
      <pivotArea field="0" dataOnly="0" labelOnly="1" grandRow="1" outline="0" axis="axisRow" fieldPosition="0">
        <references count="1">
          <reference field="4294967294" count="1" selected="0">
            <x v="26"/>
          </reference>
        </references>
      </pivotArea>
    </format>
    <format dxfId="575">
      <pivotArea field="0" dataOnly="0" labelOnly="1" grandRow="1" outline="0" axis="axisRow" fieldPosition="0">
        <references count="1">
          <reference field="4294967294" count="1" selected="0">
            <x v="27"/>
          </reference>
        </references>
      </pivotArea>
    </format>
    <format dxfId="574">
      <pivotArea field="0" dataOnly="0" labelOnly="1" grandRow="1" outline="0" axis="axisRow" fieldPosition="0">
        <references count="1">
          <reference field="4294967294" count="1" selected="0">
            <x v="28"/>
          </reference>
        </references>
      </pivotArea>
    </format>
    <format dxfId="573">
      <pivotArea field="0" dataOnly="0" labelOnly="1" grandRow="1" outline="0" axis="axisRow" fieldPosition="0">
        <references count="1">
          <reference field="4294967294" count="1" selected="0">
            <x v="29"/>
          </reference>
        </references>
      </pivotArea>
    </format>
    <format dxfId="572">
      <pivotArea field="0" dataOnly="0" labelOnly="1" grandRow="1" outline="0" axis="axisRow" fieldPosition="0">
        <references count="1">
          <reference field="4294967294" count="1" selected="0">
            <x v="30"/>
          </reference>
        </references>
      </pivotArea>
    </format>
    <format dxfId="571">
      <pivotArea field="0" dataOnly="0" labelOnly="1" grandRow="1" outline="0" axis="axisRow" fieldPosition="0">
        <references count="1">
          <reference field="4294967294" count="1" selected="0">
            <x v="31"/>
          </reference>
        </references>
      </pivotArea>
    </format>
    <format dxfId="570">
      <pivotArea field="0" dataOnly="0" labelOnly="1" grandRow="1" outline="0" axis="axisRow" fieldPosition="0">
        <references count="1">
          <reference field="4294967294" count="1" selected="0">
            <x v="32"/>
          </reference>
        </references>
      </pivotArea>
    </format>
    <format dxfId="569">
      <pivotArea field="0" dataOnly="0" labelOnly="1" grandRow="1" outline="0" axis="axisRow" fieldPosition="0">
        <references count="1">
          <reference field="4294967294" count="1" selected="0">
            <x v="33"/>
          </reference>
        </references>
      </pivotArea>
    </format>
    <format dxfId="568">
      <pivotArea field="0" dataOnly="0" labelOnly="1" grandRow="1" outline="0" axis="axisRow" fieldPosition="0">
        <references count="1">
          <reference field="4294967294" count="1" selected="0">
            <x v="34"/>
          </reference>
        </references>
      </pivotArea>
    </format>
    <format dxfId="567">
      <pivotArea field="0" dataOnly="0" labelOnly="1" grandRow="1" outline="0" axis="axisRow" fieldPosition="0">
        <references count="1">
          <reference field="4294967294" count="1" selected="0">
            <x v="35"/>
          </reference>
        </references>
      </pivotArea>
    </format>
    <format dxfId="566">
      <pivotArea field="0" dataOnly="0" labelOnly="1" grandRow="1" outline="0" axis="axisRow" fieldPosition="0">
        <references count="1">
          <reference field="4294967294" count="1" selected="0">
            <x v="0"/>
          </reference>
        </references>
      </pivotArea>
    </format>
    <format dxfId="565">
      <pivotArea field="0" dataOnly="0" labelOnly="1" grandRow="1" outline="0" axis="axisRow" fieldPosition="0">
        <references count="1">
          <reference field="4294967294" count="1" selected="0">
            <x v="1"/>
          </reference>
        </references>
      </pivotArea>
    </format>
    <format dxfId="564">
      <pivotArea field="0" dataOnly="0" labelOnly="1" grandRow="1" outline="0" axis="axisRow" fieldPosition="0">
        <references count="1">
          <reference field="4294967294" count="1" selected="0">
            <x v="2"/>
          </reference>
        </references>
      </pivotArea>
    </format>
    <format dxfId="563">
      <pivotArea field="0" dataOnly="0" labelOnly="1" grandRow="1" outline="0" axis="axisRow" fieldPosition="0">
        <references count="1">
          <reference field="4294967294" count="1" selected="0">
            <x v="3"/>
          </reference>
        </references>
      </pivotArea>
    </format>
    <format dxfId="562">
      <pivotArea field="0" dataOnly="0" labelOnly="1" grandRow="1" outline="0" axis="axisRow" fieldPosition="0">
        <references count="1">
          <reference field="4294967294" count="1" selected="0">
            <x v="4"/>
          </reference>
        </references>
      </pivotArea>
    </format>
    <format dxfId="561">
      <pivotArea field="0" dataOnly="0" labelOnly="1" grandRow="1" outline="0" axis="axisRow" fieldPosition="0">
        <references count="1">
          <reference field="4294967294" count="1" selected="0">
            <x v="5"/>
          </reference>
        </references>
      </pivotArea>
    </format>
    <format dxfId="560">
      <pivotArea field="0" dataOnly="0" labelOnly="1" grandRow="1" outline="0" axis="axisRow" fieldPosition="0">
        <references count="1">
          <reference field="4294967294" count="1" selected="0">
            <x v="6"/>
          </reference>
        </references>
      </pivotArea>
    </format>
    <format dxfId="559">
      <pivotArea field="0" dataOnly="0" labelOnly="1" grandRow="1" outline="0" axis="axisRow" fieldPosition="0">
        <references count="1">
          <reference field="4294967294" count="1" selected="0">
            <x v="7"/>
          </reference>
        </references>
      </pivotArea>
    </format>
    <format dxfId="558">
      <pivotArea field="0" dataOnly="0" labelOnly="1" grandRow="1" outline="0" axis="axisRow" fieldPosition="0">
        <references count="1">
          <reference field="4294967294" count="1" selected="0">
            <x v="8"/>
          </reference>
        </references>
      </pivotArea>
    </format>
    <format dxfId="557">
      <pivotArea field="0" dataOnly="0" labelOnly="1" grandRow="1" outline="0" axis="axisRow" fieldPosition="0">
        <references count="1">
          <reference field="4294967294" count="1" selected="0">
            <x v="9"/>
          </reference>
        </references>
      </pivotArea>
    </format>
    <format dxfId="556">
      <pivotArea field="0" dataOnly="0" labelOnly="1" grandRow="1" outline="0" axis="axisRow" fieldPosition="0">
        <references count="1">
          <reference field="4294967294" count="1" selected="0">
            <x v="10"/>
          </reference>
        </references>
      </pivotArea>
    </format>
    <format dxfId="555">
      <pivotArea field="0" dataOnly="0" labelOnly="1" grandRow="1" outline="0" axis="axisRow" fieldPosition="0">
        <references count="1">
          <reference field="4294967294" count="1" selected="0">
            <x v="11"/>
          </reference>
        </references>
      </pivotArea>
    </format>
    <format dxfId="554">
      <pivotArea field="0" dataOnly="0" labelOnly="1" grandRow="1" outline="0" axis="axisRow" fieldPosition="0">
        <references count="1">
          <reference field="4294967294" count="1" selected="0">
            <x v="12"/>
          </reference>
        </references>
      </pivotArea>
    </format>
    <format dxfId="553">
      <pivotArea field="0" dataOnly="0" labelOnly="1" grandRow="1" outline="0" axis="axisRow" fieldPosition="0">
        <references count="1">
          <reference field="4294967294" count="1" selected="0">
            <x v="13"/>
          </reference>
        </references>
      </pivotArea>
    </format>
    <format dxfId="552">
      <pivotArea field="0" dataOnly="0" labelOnly="1" grandRow="1" outline="0" axis="axisRow" fieldPosition="0">
        <references count="1">
          <reference field="4294967294" count="1" selected="0">
            <x v="14"/>
          </reference>
        </references>
      </pivotArea>
    </format>
    <format dxfId="551">
      <pivotArea field="0" dataOnly="0" labelOnly="1" grandRow="1" outline="0" axis="axisRow" fieldPosition="0">
        <references count="1">
          <reference field="4294967294" count="1" selected="0">
            <x v="15"/>
          </reference>
        </references>
      </pivotArea>
    </format>
    <format dxfId="550">
      <pivotArea field="0" dataOnly="0" labelOnly="1" grandRow="1" outline="0" axis="axisRow" fieldPosition="0">
        <references count="1">
          <reference field="4294967294" count="1" selected="0">
            <x v="16"/>
          </reference>
        </references>
      </pivotArea>
    </format>
    <format dxfId="549">
      <pivotArea field="0" dataOnly="0" labelOnly="1" grandRow="1" outline="0" axis="axisRow" fieldPosition="0">
        <references count="1">
          <reference field="4294967294" count="1" selected="0">
            <x v="17"/>
          </reference>
        </references>
      </pivotArea>
    </format>
    <format dxfId="548">
      <pivotArea field="0" dataOnly="0" labelOnly="1" grandRow="1" outline="0" axis="axisRow" fieldPosition="0">
        <references count="1">
          <reference field="4294967294" count="1" selected="0">
            <x v="18"/>
          </reference>
        </references>
      </pivotArea>
    </format>
    <format dxfId="547">
      <pivotArea field="0" dataOnly="0" labelOnly="1" grandRow="1" outline="0" axis="axisRow" fieldPosition="0">
        <references count="1">
          <reference field="4294967294" count="1" selected="0">
            <x v="19"/>
          </reference>
        </references>
      </pivotArea>
    </format>
    <format dxfId="546">
      <pivotArea field="0" dataOnly="0" labelOnly="1" grandRow="1" outline="0" axis="axisRow" fieldPosition="0">
        <references count="1">
          <reference field="4294967294" count="1" selected="0">
            <x v="20"/>
          </reference>
        </references>
      </pivotArea>
    </format>
    <format dxfId="545">
      <pivotArea field="0" dataOnly="0" labelOnly="1" grandRow="1" outline="0" axis="axisRow" fieldPosition="0">
        <references count="1">
          <reference field="4294967294" count="1" selected="0">
            <x v="21"/>
          </reference>
        </references>
      </pivotArea>
    </format>
    <format dxfId="544">
      <pivotArea field="0" dataOnly="0" labelOnly="1" grandRow="1" outline="0" axis="axisRow" fieldPosition="0">
        <references count="1">
          <reference field="4294967294" count="1" selected="0">
            <x v="22"/>
          </reference>
        </references>
      </pivotArea>
    </format>
    <format dxfId="543">
      <pivotArea field="0" dataOnly="0" labelOnly="1" grandRow="1" outline="0" axis="axisRow" fieldPosition="0">
        <references count="1">
          <reference field="4294967294" count="1" selected="0">
            <x v="23"/>
          </reference>
        </references>
      </pivotArea>
    </format>
    <format dxfId="542">
      <pivotArea field="0" dataOnly="0" labelOnly="1" grandRow="1" outline="0" axis="axisRow" fieldPosition="0">
        <references count="1">
          <reference field="4294967294" count="1" selected="0">
            <x v="24"/>
          </reference>
        </references>
      </pivotArea>
    </format>
    <format dxfId="541">
      <pivotArea field="0" dataOnly="0" labelOnly="1" grandRow="1" outline="0" axis="axisRow" fieldPosition="0">
        <references count="1">
          <reference field="4294967294" count="1" selected="0">
            <x v="25"/>
          </reference>
        </references>
      </pivotArea>
    </format>
    <format dxfId="540">
      <pivotArea field="0" dataOnly="0" labelOnly="1" grandRow="1" outline="0" axis="axisRow" fieldPosition="0">
        <references count="1">
          <reference field="4294967294" count="1" selected="0">
            <x v="26"/>
          </reference>
        </references>
      </pivotArea>
    </format>
    <format dxfId="539">
      <pivotArea field="0" dataOnly="0" labelOnly="1" grandRow="1" outline="0" axis="axisRow" fieldPosition="0">
        <references count="1">
          <reference field="4294967294" count="1" selected="0">
            <x v="27"/>
          </reference>
        </references>
      </pivotArea>
    </format>
    <format dxfId="538">
      <pivotArea field="0" dataOnly="0" labelOnly="1" grandRow="1" outline="0" axis="axisRow" fieldPosition="0">
        <references count="1">
          <reference field="4294967294" count="1" selected="0">
            <x v="28"/>
          </reference>
        </references>
      </pivotArea>
    </format>
    <format dxfId="537">
      <pivotArea field="0" dataOnly="0" labelOnly="1" grandRow="1" outline="0" axis="axisRow" fieldPosition="0">
        <references count="1">
          <reference field="4294967294" count="1" selected="0">
            <x v="29"/>
          </reference>
        </references>
      </pivotArea>
    </format>
    <format dxfId="536">
      <pivotArea field="0" dataOnly="0" labelOnly="1" grandRow="1" outline="0" axis="axisRow" fieldPosition="0">
        <references count="1">
          <reference field="4294967294" count="1" selected="0">
            <x v="30"/>
          </reference>
        </references>
      </pivotArea>
    </format>
    <format dxfId="535">
      <pivotArea field="0" dataOnly="0" labelOnly="1" grandRow="1" outline="0" axis="axisRow" fieldPosition="0">
        <references count="1">
          <reference field="4294967294" count="1" selected="0">
            <x v="31"/>
          </reference>
        </references>
      </pivotArea>
    </format>
    <format dxfId="534">
      <pivotArea field="0" dataOnly="0" labelOnly="1" grandRow="1" outline="0" axis="axisRow" fieldPosition="0">
        <references count="1">
          <reference field="4294967294" count="1" selected="0">
            <x v="32"/>
          </reference>
        </references>
      </pivotArea>
    </format>
    <format dxfId="533">
      <pivotArea field="0" dataOnly="0" labelOnly="1" grandRow="1" outline="0" axis="axisRow" fieldPosition="0">
        <references count="1">
          <reference field="4294967294" count="1" selected="0">
            <x v="33"/>
          </reference>
        </references>
      </pivotArea>
    </format>
    <format dxfId="532">
      <pivotArea field="0" dataOnly="0" labelOnly="1" grandRow="1" outline="0" axis="axisRow" fieldPosition="0">
        <references count="1">
          <reference field="4294967294" count="1" selected="0">
            <x v="34"/>
          </reference>
        </references>
      </pivotArea>
    </format>
    <format dxfId="531">
      <pivotArea field="0" dataOnly="0" labelOnly="1" grandRow="1" outline="0" axis="axisRow" fieldPosition="0">
        <references count="1">
          <reference field="4294967294" count="1" selected="0">
            <x v="35"/>
          </reference>
        </references>
      </pivotArea>
    </format>
    <format dxfId="530">
      <pivotArea field="0" dataOnly="0" labelOnly="1" grandRow="1" outline="0" axis="axisRow" fieldPosition="0">
        <references count="1">
          <reference field="4294967294" count="1" selected="0">
            <x v="0"/>
          </reference>
        </references>
      </pivotArea>
    </format>
    <format dxfId="529">
      <pivotArea field="0" dataOnly="0" labelOnly="1" grandRow="1" outline="0" axis="axisRow" fieldPosition="0">
        <references count="1">
          <reference field="4294967294" count="1" selected="0">
            <x v="1"/>
          </reference>
        </references>
      </pivotArea>
    </format>
    <format dxfId="528">
      <pivotArea field="0" dataOnly="0" labelOnly="1" grandRow="1" outline="0" axis="axisRow" fieldPosition="0">
        <references count="1">
          <reference field="4294967294" count="1" selected="0">
            <x v="2"/>
          </reference>
        </references>
      </pivotArea>
    </format>
    <format dxfId="527">
      <pivotArea field="0" dataOnly="0" labelOnly="1" grandRow="1" outline="0" axis="axisRow" fieldPosition="0">
        <references count="1">
          <reference field="4294967294" count="1" selected="0">
            <x v="3"/>
          </reference>
        </references>
      </pivotArea>
    </format>
    <format dxfId="526">
      <pivotArea field="0" dataOnly="0" labelOnly="1" grandRow="1" outline="0" axis="axisRow" fieldPosition="0">
        <references count="1">
          <reference field="4294967294" count="1" selected="0">
            <x v="4"/>
          </reference>
        </references>
      </pivotArea>
    </format>
    <format dxfId="525">
      <pivotArea field="0" dataOnly="0" labelOnly="1" grandRow="1" outline="0" axis="axisRow" fieldPosition="0">
        <references count="1">
          <reference field="4294967294" count="1" selected="0">
            <x v="5"/>
          </reference>
        </references>
      </pivotArea>
    </format>
    <format dxfId="524">
      <pivotArea field="0" dataOnly="0" labelOnly="1" grandRow="1" outline="0" axis="axisRow" fieldPosition="0">
        <references count="1">
          <reference field="4294967294" count="1" selected="0">
            <x v="6"/>
          </reference>
        </references>
      </pivotArea>
    </format>
    <format dxfId="523">
      <pivotArea field="0" dataOnly="0" labelOnly="1" grandRow="1" outline="0" axis="axisRow" fieldPosition="0">
        <references count="1">
          <reference field="4294967294" count="1" selected="0">
            <x v="7"/>
          </reference>
        </references>
      </pivotArea>
    </format>
    <format dxfId="522">
      <pivotArea field="0" dataOnly="0" labelOnly="1" grandRow="1" outline="0" axis="axisRow" fieldPosition="0">
        <references count="1">
          <reference field="4294967294" count="1" selected="0">
            <x v="8"/>
          </reference>
        </references>
      </pivotArea>
    </format>
    <format dxfId="521">
      <pivotArea field="0" dataOnly="0" labelOnly="1" grandRow="1" outline="0" axis="axisRow" fieldPosition="0">
        <references count="1">
          <reference field="4294967294" count="1" selected="0">
            <x v="9"/>
          </reference>
        </references>
      </pivotArea>
    </format>
    <format dxfId="520">
      <pivotArea field="0" dataOnly="0" labelOnly="1" grandRow="1" outline="0" axis="axisRow" fieldPosition="0">
        <references count="1">
          <reference field="4294967294" count="1" selected="0">
            <x v="10"/>
          </reference>
        </references>
      </pivotArea>
    </format>
    <format dxfId="519">
      <pivotArea field="0" dataOnly="0" labelOnly="1" grandRow="1" outline="0" axis="axisRow" fieldPosition="0">
        <references count="1">
          <reference field="4294967294" count="1" selected="0">
            <x v="11"/>
          </reference>
        </references>
      </pivotArea>
    </format>
    <format dxfId="518">
      <pivotArea field="0" dataOnly="0" labelOnly="1" grandRow="1" outline="0" axis="axisRow" fieldPosition="0">
        <references count="1">
          <reference field="4294967294" count="1" selected="0">
            <x v="12"/>
          </reference>
        </references>
      </pivotArea>
    </format>
    <format dxfId="517">
      <pivotArea field="0" dataOnly="0" labelOnly="1" grandRow="1" outline="0" axis="axisRow" fieldPosition="0">
        <references count="1">
          <reference field="4294967294" count="1" selected="0">
            <x v="13"/>
          </reference>
        </references>
      </pivotArea>
    </format>
    <format dxfId="516">
      <pivotArea field="0" dataOnly="0" labelOnly="1" grandRow="1" outline="0" axis="axisRow" fieldPosition="0">
        <references count="1">
          <reference field="4294967294" count="1" selected="0">
            <x v="14"/>
          </reference>
        </references>
      </pivotArea>
    </format>
    <format dxfId="515">
      <pivotArea field="0" dataOnly="0" labelOnly="1" grandRow="1" outline="0" axis="axisRow" fieldPosition="0">
        <references count="1">
          <reference field="4294967294" count="1" selected="0">
            <x v="15"/>
          </reference>
        </references>
      </pivotArea>
    </format>
    <format dxfId="514">
      <pivotArea field="0" dataOnly="0" labelOnly="1" grandRow="1" outline="0" axis="axisRow" fieldPosition="0">
        <references count="1">
          <reference field="4294967294" count="1" selected="0">
            <x v="16"/>
          </reference>
        </references>
      </pivotArea>
    </format>
    <format dxfId="513">
      <pivotArea field="0" dataOnly="0" labelOnly="1" grandRow="1" outline="0" axis="axisRow" fieldPosition="0">
        <references count="1">
          <reference field="4294967294" count="1" selected="0">
            <x v="17"/>
          </reference>
        </references>
      </pivotArea>
    </format>
    <format dxfId="512">
      <pivotArea field="0" dataOnly="0" labelOnly="1" grandRow="1" outline="0" axis="axisRow" fieldPosition="0">
        <references count="1">
          <reference field="4294967294" count="1" selected="0">
            <x v="18"/>
          </reference>
        </references>
      </pivotArea>
    </format>
    <format dxfId="511">
      <pivotArea field="0" dataOnly="0" labelOnly="1" grandRow="1" outline="0" axis="axisRow" fieldPosition="0">
        <references count="1">
          <reference field="4294967294" count="1" selected="0">
            <x v="19"/>
          </reference>
        </references>
      </pivotArea>
    </format>
    <format dxfId="510">
      <pivotArea field="0" dataOnly="0" labelOnly="1" grandRow="1" outline="0" axis="axisRow" fieldPosition="0">
        <references count="1">
          <reference field="4294967294" count="1" selected="0">
            <x v="20"/>
          </reference>
        </references>
      </pivotArea>
    </format>
    <format dxfId="509">
      <pivotArea field="0" dataOnly="0" labelOnly="1" grandRow="1" outline="0" axis="axisRow" fieldPosition="0">
        <references count="1">
          <reference field="4294967294" count="1" selected="0">
            <x v="21"/>
          </reference>
        </references>
      </pivotArea>
    </format>
    <format dxfId="508">
      <pivotArea field="0" dataOnly="0" labelOnly="1" grandRow="1" outline="0" axis="axisRow" fieldPosition="0">
        <references count="1">
          <reference field="4294967294" count="1" selected="0">
            <x v="22"/>
          </reference>
        </references>
      </pivotArea>
    </format>
    <format dxfId="507">
      <pivotArea field="0" dataOnly="0" labelOnly="1" grandRow="1" outline="0" axis="axisRow" fieldPosition="0">
        <references count="1">
          <reference field="4294967294" count="1" selected="0">
            <x v="23"/>
          </reference>
        </references>
      </pivotArea>
    </format>
    <format dxfId="506">
      <pivotArea field="0" dataOnly="0" labelOnly="1" grandRow="1" outline="0" axis="axisRow" fieldPosition="0">
        <references count="1">
          <reference field="4294967294" count="1" selected="0">
            <x v="24"/>
          </reference>
        </references>
      </pivotArea>
    </format>
    <format dxfId="505">
      <pivotArea field="0" dataOnly="0" labelOnly="1" grandRow="1" outline="0" axis="axisRow" fieldPosition="0">
        <references count="1">
          <reference field="4294967294" count="1" selected="0">
            <x v="25"/>
          </reference>
        </references>
      </pivotArea>
    </format>
    <format dxfId="504">
      <pivotArea field="0" dataOnly="0" labelOnly="1" grandRow="1" outline="0" axis="axisRow" fieldPosition="0">
        <references count="1">
          <reference field="4294967294" count="1" selected="0">
            <x v="26"/>
          </reference>
        </references>
      </pivotArea>
    </format>
    <format dxfId="503">
      <pivotArea field="0" dataOnly="0" labelOnly="1" grandRow="1" outline="0" axis="axisRow" fieldPosition="0">
        <references count="1">
          <reference field="4294967294" count="1" selected="0">
            <x v="27"/>
          </reference>
        </references>
      </pivotArea>
    </format>
    <format dxfId="502">
      <pivotArea field="0" dataOnly="0" labelOnly="1" grandRow="1" outline="0" axis="axisRow" fieldPosition="0">
        <references count="1">
          <reference field="4294967294" count="1" selected="0">
            <x v="28"/>
          </reference>
        </references>
      </pivotArea>
    </format>
    <format dxfId="501">
      <pivotArea field="0" dataOnly="0" labelOnly="1" grandRow="1" outline="0" axis="axisRow" fieldPosition="0">
        <references count="1">
          <reference field="4294967294" count="1" selected="0">
            <x v="29"/>
          </reference>
        </references>
      </pivotArea>
    </format>
    <format dxfId="500">
      <pivotArea field="0" dataOnly="0" labelOnly="1" grandRow="1" outline="0" axis="axisRow" fieldPosition="0">
        <references count="1">
          <reference field="4294967294" count="1" selected="0">
            <x v="30"/>
          </reference>
        </references>
      </pivotArea>
    </format>
    <format dxfId="499">
      <pivotArea field="0" dataOnly="0" labelOnly="1" grandRow="1" outline="0" axis="axisRow" fieldPosition="0">
        <references count="1">
          <reference field="4294967294" count="1" selected="0">
            <x v="31"/>
          </reference>
        </references>
      </pivotArea>
    </format>
    <format dxfId="498">
      <pivotArea field="0" dataOnly="0" labelOnly="1" grandRow="1" outline="0" axis="axisRow" fieldPosition="0">
        <references count="1">
          <reference field="4294967294" count="1" selected="0">
            <x v="32"/>
          </reference>
        </references>
      </pivotArea>
    </format>
    <format dxfId="497">
      <pivotArea field="0" dataOnly="0" labelOnly="1" grandRow="1" outline="0" axis="axisRow" fieldPosition="0">
        <references count="1">
          <reference field="4294967294" count="1" selected="0">
            <x v="33"/>
          </reference>
        </references>
      </pivotArea>
    </format>
    <format dxfId="496">
      <pivotArea field="0" dataOnly="0" labelOnly="1" grandRow="1" outline="0" axis="axisRow" fieldPosition="0">
        <references count="1">
          <reference field="4294967294" count="1" selected="0">
            <x v="34"/>
          </reference>
        </references>
      </pivotArea>
    </format>
    <format dxfId="495">
      <pivotArea field="0" dataOnly="0" labelOnly="1" grandRow="1" outline="0" axis="axisRow" fieldPosition="0">
        <references count="1">
          <reference field="4294967294" count="1" selected="0">
            <x v="35"/>
          </reference>
        </references>
      </pivotArea>
    </format>
    <format dxfId="494">
      <pivotArea field="0" dataOnly="0" labelOnly="1" grandRow="1" outline="0" axis="axisRow" fieldPosition="0">
        <references count="1">
          <reference field="4294967294" count="1" selected="0">
            <x v="0"/>
          </reference>
        </references>
      </pivotArea>
    </format>
    <format dxfId="493">
      <pivotArea field="0" dataOnly="0" labelOnly="1" grandRow="1" outline="0" axis="axisRow" fieldPosition="0">
        <references count="1">
          <reference field="4294967294" count="1" selected="0">
            <x v="1"/>
          </reference>
        </references>
      </pivotArea>
    </format>
    <format dxfId="492">
      <pivotArea field="0" dataOnly="0" labelOnly="1" grandRow="1" outline="0" axis="axisRow" fieldPosition="0">
        <references count="1">
          <reference field="4294967294" count="1" selected="0">
            <x v="2"/>
          </reference>
        </references>
      </pivotArea>
    </format>
    <format dxfId="491">
      <pivotArea field="0" dataOnly="0" labelOnly="1" grandRow="1" outline="0" axis="axisRow" fieldPosition="0">
        <references count="1">
          <reference field="4294967294" count="1" selected="0">
            <x v="3"/>
          </reference>
        </references>
      </pivotArea>
    </format>
    <format dxfId="490">
      <pivotArea field="0" dataOnly="0" labelOnly="1" grandRow="1" outline="0" axis="axisRow" fieldPosition="0">
        <references count="1">
          <reference field="4294967294" count="1" selected="0">
            <x v="4"/>
          </reference>
        </references>
      </pivotArea>
    </format>
    <format dxfId="489">
      <pivotArea field="0" dataOnly="0" labelOnly="1" grandRow="1" outline="0" axis="axisRow" fieldPosition="0">
        <references count="1">
          <reference field="4294967294" count="1" selected="0">
            <x v="5"/>
          </reference>
        </references>
      </pivotArea>
    </format>
    <format dxfId="488">
      <pivotArea field="0" dataOnly="0" labelOnly="1" grandRow="1" outline="0" axis="axisRow" fieldPosition="0">
        <references count="1">
          <reference field="4294967294" count="1" selected="0">
            <x v="6"/>
          </reference>
        </references>
      </pivotArea>
    </format>
    <format dxfId="487">
      <pivotArea field="0" dataOnly="0" labelOnly="1" grandRow="1" outline="0" axis="axisRow" fieldPosition="0">
        <references count="1">
          <reference field="4294967294" count="1" selected="0">
            <x v="7"/>
          </reference>
        </references>
      </pivotArea>
    </format>
    <format dxfId="486">
      <pivotArea field="0" dataOnly="0" labelOnly="1" grandRow="1" outline="0" axis="axisRow" fieldPosition="0">
        <references count="1">
          <reference field="4294967294" count="1" selected="0">
            <x v="8"/>
          </reference>
        </references>
      </pivotArea>
    </format>
    <format dxfId="485">
      <pivotArea field="0" dataOnly="0" labelOnly="1" grandRow="1" outline="0" axis="axisRow" fieldPosition="0">
        <references count="1">
          <reference field="4294967294" count="1" selected="0">
            <x v="9"/>
          </reference>
        </references>
      </pivotArea>
    </format>
    <format dxfId="484">
      <pivotArea field="0" dataOnly="0" labelOnly="1" grandRow="1" outline="0" axis="axisRow" fieldPosition="0">
        <references count="1">
          <reference field="4294967294" count="1" selected="0">
            <x v="10"/>
          </reference>
        </references>
      </pivotArea>
    </format>
    <format dxfId="483">
      <pivotArea field="0" dataOnly="0" labelOnly="1" grandRow="1" outline="0" axis="axisRow" fieldPosition="0">
        <references count="1">
          <reference field="4294967294" count="1" selected="0">
            <x v="11"/>
          </reference>
        </references>
      </pivotArea>
    </format>
    <format dxfId="482">
      <pivotArea field="0" dataOnly="0" labelOnly="1" grandRow="1" outline="0" axis="axisRow" fieldPosition="0">
        <references count="1">
          <reference field="4294967294" count="1" selected="0">
            <x v="12"/>
          </reference>
        </references>
      </pivotArea>
    </format>
    <format dxfId="481">
      <pivotArea field="0" dataOnly="0" labelOnly="1" grandRow="1" outline="0" axis="axisRow" fieldPosition="0">
        <references count="1">
          <reference field="4294967294" count="1" selected="0">
            <x v="13"/>
          </reference>
        </references>
      </pivotArea>
    </format>
    <format dxfId="480">
      <pivotArea field="0" dataOnly="0" labelOnly="1" grandRow="1" outline="0" axis="axisRow" fieldPosition="0">
        <references count="1">
          <reference field="4294967294" count="1" selected="0">
            <x v="14"/>
          </reference>
        </references>
      </pivotArea>
    </format>
    <format dxfId="479">
      <pivotArea field="0" dataOnly="0" labelOnly="1" grandRow="1" outline="0" axis="axisRow" fieldPosition="0">
        <references count="1">
          <reference field="4294967294" count="1" selected="0">
            <x v="15"/>
          </reference>
        </references>
      </pivotArea>
    </format>
    <format dxfId="478">
      <pivotArea field="0" dataOnly="0" labelOnly="1" grandRow="1" outline="0" axis="axisRow" fieldPosition="0">
        <references count="1">
          <reference field="4294967294" count="1" selected="0">
            <x v="16"/>
          </reference>
        </references>
      </pivotArea>
    </format>
    <format dxfId="477">
      <pivotArea field="0" dataOnly="0" labelOnly="1" grandRow="1" outline="0" axis="axisRow" fieldPosition="0">
        <references count="1">
          <reference field="4294967294" count="1" selected="0">
            <x v="17"/>
          </reference>
        </references>
      </pivotArea>
    </format>
    <format dxfId="476">
      <pivotArea field="0" dataOnly="0" labelOnly="1" grandRow="1" outline="0" axis="axisRow" fieldPosition="0">
        <references count="1">
          <reference field="4294967294" count="1" selected="0">
            <x v="18"/>
          </reference>
        </references>
      </pivotArea>
    </format>
    <format dxfId="475">
      <pivotArea field="0" dataOnly="0" labelOnly="1" grandRow="1" outline="0" axis="axisRow" fieldPosition="0">
        <references count="1">
          <reference field="4294967294" count="1" selected="0">
            <x v="19"/>
          </reference>
        </references>
      </pivotArea>
    </format>
    <format dxfId="474">
      <pivotArea field="0" dataOnly="0" labelOnly="1" grandRow="1" outline="0" axis="axisRow" fieldPosition="0">
        <references count="1">
          <reference field="4294967294" count="1" selected="0">
            <x v="20"/>
          </reference>
        </references>
      </pivotArea>
    </format>
    <format dxfId="473">
      <pivotArea field="0" dataOnly="0" labelOnly="1" grandRow="1" outline="0" axis="axisRow" fieldPosition="0">
        <references count="1">
          <reference field="4294967294" count="1" selected="0">
            <x v="21"/>
          </reference>
        </references>
      </pivotArea>
    </format>
    <format dxfId="472">
      <pivotArea field="0" dataOnly="0" labelOnly="1" grandRow="1" outline="0" axis="axisRow" fieldPosition="0">
        <references count="1">
          <reference field="4294967294" count="1" selected="0">
            <x v="22"/>
          </reference>
        </references>
      </pivotArea>
    </format>
    <format dxfId="471">
      <pivotArea field="0" dataOnly="0" labelOnly="1" grandRow="1" outline="0" axis="axisRow" fieldPosition="0">
        <references count="1">
          <reference field="4294967294" count="1" selected="0">
            <x v="23"/>
          </reference>
        </references>
      </pivotArea>
    </format>
    <format dxfId="470">
      <pivotArea field="0" dataOnly="0" labelOnly="1" grandRow="1" outline="0" axis="axisRow" fieldPosition="0">
        <references count="1">
          <reference field="4294967294" count="1" selected="0">
            <x v="24"/>
          </reference>
        </references>
      </pivotArea>
    </format>
    <format dxfId="469">
      <pivotArea field="0" dataOnly="0" labelOnly="1" grandRow="1" outline="0" axis="axisRow" fieldPosition="0">
        <references count="1">
          <reference field="4294967294" count="1" selected="0">
            <x v="25"/>
          </reference>
        </references>
      </pivotArea>
    </format>
    <format dxfId="468">
      <pivotArea field="0" dataOnly="0" labelOnly="1" grandRow="1" outline="0" axis="axisRow" fieldPosition="0">
        <references count="1">
          <reference field="4294967294" count="1" selected="0">
            <x v="26"/>
          </reference>
        </references>
      </pivotArea>
    </format>
    <format dxfId="467">
      <pivotArea field="0" dataOnly="0" labelOnly="1" grandRow="1" outline="0" axis="axisRow" fieldPosition="0">
        <references count="1">
          <reference field="4294967294" count="1" selected="0">
            <x v="27"/>
          </reference>
        </references>
      </pivotArea>
    </format>
    <format dxfId="466">
      <pivotArea field="0" dataOnly="0" labelOnly="1" grandRow="1" outline="0" axis="axisRow" fieldPosition="0">
        <references count="1">
          <reference field="4294967294" count="1" selected="0">
            <x v="28"/>
          </reference>
        </references>
      </pivotArea>
    </format>
    <format dxfId="465">
      <pivotArea field="0" dataOnly="0" labelOnly="1" grandRow="1" outline="0" axis="axisRow" fieldPosition="0">
        <references count="1">
          <reference field="4294967294" count="1" selected="0">
            <x v="29"/>
          </reference>
        </references>
      </pivotArea>
    </format>
    <format dxfId="464">
      <pivotArea field="0" dataOnly="0" labelOnly="1" grandRow="1" outline="0" axis="axisRow" fieldPosition="0">
        <references count="1">
          <reference field="4294967294" count="1" selected="0">
            <x v="30"/>
          </reference>
        </references>
      </pivotArea>
    </format>
    <format dxfId="463">
      <pivotArea field="0" dataOnly="0" labelOnly="1" grandRow="1" outline="0" axis="axisRow" fieldPosition="0">
        <references count="1">
          <reference field="4294967294" count="1" selected="0">
            <x v="31"/>
          </reference>
        </references>
      </pivotArea>
    </format>
    <format dxfId="462">
      <pivotArea field="0" dataOnly="0" labelOnly="1" grandRow="1" outline="0" axis="axisRow" fieldPosition="0">
        <references count="1">
          <reference field="4294967294" count="1" selected="0">
            <x v="32"/>
          </reference>
        </references>
      </pivotArea>
    </format>
    <format dxfId="461">
      <pivotArea field="0" dataOnly="0" labelOnly="1" grandRow="1" outline="0" axis="axisRow" fieldPosition="0">
        <references count="1">
          <reference field="4294967294" count="1" selected="0">
            <x v="33"/>
          </reference>
        </references>
      </pivotArea>
    </format>
    <format dxfId="460">
      <pivotArea field="0" dataOnly="0" labelOnly="1" grandRow="1" outline="0" axis="axisRow" fieldPosition="0">
        <references count="1">
          <reference field="4294967294" count="1" selected="0">
            <x v="34"/>
          </reference>
        </references>
      </pivotArea>
    </format>
    <format dxfId="459">
      <pivotArea field="0" dataOnly="0" labelOnly="1" grandRow="1" outline="0" axis="axisRow" fieldPosition="0">
        <references count="1">
          <reference field="4294967294" count="1" selected="0">
            <x v="35"/>
          </reference>
        </references>
      </pivotArea>
    </format>
    <format dxfId="458">
      <pivotArea field="0" dataOnly="0" labelOnly="1" grandRow="1" outline="0" axis="axisRow" fieldPosition="0">
        <references count="1">
          <reference field="4294967294" count="1" selected="0">
            <x v="0"/>
          </reference>
        </references>
      </pivotArea>
    </format>
    <format dxfId="457">
      <pivotArea field="0" dataOnly="0" labelOnly="1" grandRow="1" outline="0" axis="axisRow" fieldPosition="0">
        <references count="1">
          <reference field="4294967294" count="1" selected="0">
            <x v="1"/>
          </reference>
        </references>
      </pivotArea>
    </format>
    <format dxfId="456">
      <pivotArea field="0" dataOnly="0" labelOnly="1" grandRow="1" outline="0" axis="axisRow" fieldPosition="0">
        <references count="1">
          <reference field="4294967294" count="1" selected="0">
            <x v="2"/>
          </reference>
        </references>
      </pivotArea>
    </format>
    <format dxfId="455">
      <pivotArea field="0" dataOnly="0" labelOnly="1" grandRow="1" outline="0" axis="axisRow" fieldPosition="0">
        <references count="1">
          <reference field="4294967294" count="1" selected="0">
            <x v="3"/>
          </reference>
        </references>
      </pivotArea>
    </format>
    <format dxfId="454">
      <pivotArea field="0" dataOnly="0" labelOnly="1" grandRow="1" outline="0" axis="axisRow" fieldPosition="0">
        <references count="1">
          <reference field="4294967294" count="1" selected="0">
            <x v="4"/>
          </reference>
        </references>
      </pivotArea>
    </format>
    <format dxfId="453">
      <pivotArea field="0" dataOnly="0" labelOnly="1" grandRow="1" outline="0" axis="axisRow" fieldPosition="0">
        <references count="1">
          <reference field="4294967294" count="1" selected="0">
            <x v="5"/>
          </reference>
        </references>
      </pivotArea>
    </format>
    <format dxfId="452">
      <pivotArea field="0" dataOnly="0" labelOnly="1" grandRow="1" outline="0" axis="axisRow" fieldPosition="0">
        <references count="1">
          <reference field="4294967294" count="1" selected="0">
            <x v="6"/>
          </reference>
        </references>
      </pivotArea>
    </format>
    <format dxfId="451">
      <pivotArea field="0" dataOnly="0" labelOnly="1" grandRow="1" outline="0" axis="axisRow" fieldPosition="0">
        <references count="1">
          <reference field="4294967294" count="1" selected="0">
            <x v="7"/>
          </reference>
        </references>
      </pivotArea>
    </format>
    <format dxfId="450">
      <pivotArea field="0" dataOnly="0" labelOnly="1" grandRow="1" outline="0" axis="axisRow" fieldPosition="0">
        <references count="1">
          <reference field="4294967294" count="1" selected="0">
            <x v="8"/>
          </reference>
        </references>
      </pivotArea>
    </format>
    <format dxfId="449">
      <pivotArea field="0" dataOnly="0" labelOnly="1" grandRow="1" outline="0" axis="axisRow" fieldPosition="0">
        <references count="1">
          <reference field="4294967294" count="1" selected="0">
            <x v="9"/>
          </reference>
        </references>
      </pivotArea>
    </format>
    <format dxfId="448">
      <pivotArea field="0" dataOnly="0" labelOnly="1" grandRow="1" outline="0" axis="axisRow" fieldPosition="0">
        <references count="1">
          <reference field="4294967294" count="1" selected="0">
            <x v="10"/>
          </reference>
        </references>
      </pivotArea>
    </format>
    <format dxfId="447">
      <pivotArea field="0" dataOnly="0" labelOnly="1" grandRow="1" outline="0" axis="axisRow" fieldPosition="0">
        <references count="1">
          <reference field="4294967294" count="1" selected="0">
            <x v="11"/>
          </reference>
        </references>
      </pivotArea>
    </format>
    <format dxfId="446">
      <pivotArea field="0" dataOnly="0" labelOnly="1" grandRow="1" outline="0" axis="axisRow" fieldPosition="0">
        <references count="1">
          <reference field="4294967294" count="1" selected="0">
            <x v="12"/>
          </reference>
        </references>
      </pivotArea>
    </format>
    <format dxfId="445">
      <pivotArea field="0" dataOnly="0" labelOnly="1" grandRow="1" outline="0" axis="axisRow" fieldPosition="0">
        <references count="1">
          <reference field="4294967294" count="1" selected="0">
            <x v="13"/>
          </reference>
        </references>
      </pivotArea>
    </format>
    <format dxfId="444">
      <pivotArea field="0" dataOnly="0" labelOnly="1" grandRow="1" outline="0" axis="axisRow" fieldPosition="0">
        <references count="1">
          <reference field="4294967294" count="1" selected="0">
            <x v="14"/>
          </reference>
        </references>
      </pivotArea>
    </format>
    <format dxfId="443">
      <pivotArea field="0" dataOnly="0" labelOnly="1" grandRow="1" outline="0" axis="axisRow" fieldPosition="0">
        <references count="1">
          <reference field="4294967294" count="1" selected="0">
            <x v="15"/>
          </reference>
        </references>
      </pivotArea>
    </format>
    <format dxfId="442">
      <pivotArea field="0" dataOnly="0" labelOnly="1" grandRow="1" outline="0" axis="axisRow" fieldPosition="0">
        <references count="1">
          <reference field="4294967294" count="1" selected="0">
            <x v="16"/>
          </reference>
        </references>
      </pivotArea>
    </format>
    <format dxfId="441">
      <pivotArea field="0" dataOnly="0" labelOnly="1" grandRow="1" outline="0" axis="axisRow" fieldPosition="0">
        <references count="1">
          <reference field="4294967294" count="1" selected="0">
            <x v="17"/>
          </reference>
        </references>
      </pivotArea>
    </format>
    <format dxfId="440">
      <pivotArea field="0" dataOnly="0" labelOnly="1" grandRow="1" outline="0" axis="axisRow" fieldPosition="0">
        <references count="1">
          <reference field="4294967294" count="1" selected="0">
            <x v="18"/>
          </reference>
        </references>
      </pivotArea>
    </format>
    <format dxfId="439">
      <pivotArea field="0" dataOnly="0" labelOnly="1" grandRow="1" outline="0" axis="axisRow" fieldPosition="0">
        <references count="1">
          <reference field="4294967294" count="1" selected="0">
            <x v="19"/>
          </reference>
        </references>
      </pivotArea>
    </format>
    <format dxfId="438">
      <pivotArea field="0" dataOnly="0" labelOnly="1" grandRow="1" outline="0" axis="axisRow" fieldPosition="0">
        <references count="1">
          <reference field="4294967294" count="1" selected="0">
            <x v="20"/>
          </reference>
        </references>
      </pivotArea>
    </format>
    <format dxfId="437">
      <pivotArea field="0" dataOnly="0" labelOnly="1" grandRow="1" outline="0" axis="axisRow" fieldPosition="0">
        <references count="1">
          <reference field="4294967294" count="1" selected="0">
            <x v="21"/>
          </reference>
        </references>
      </pivotArea>
    </format>
    <format dxfId="436">
      <pivotArea field="0" dataOnly="0" labelOnly="1" grandRow="1" outline="0" axis="axisRow" fieldPosition="0">
        <references count="1">
          <reference field="4294967294" count="1" selected="0">
            <x v="22"/>
          </reference>
        </references>
      </pivotArea>
    </format>
    <format dxfId="435">
      <pivotArea field="0" dataOnly="0" labelOnly="1" grandRow="1" outline="0" axis="axisRow" fieldPosition="0">
        <references count="1">
          <reference field="4294967294" count="1" selected="0">
            <x v="23"/>
          </reference>
        </references>
      </pivotArea>
    </format>
    <format dxfId="434">
      <pivotArea field="0" dataOnly="0" labelOnly="1" grandRow="1" outline="0" axis="axisRow" fieldPosition="0">
        <references count="1">
          <reference field="4294967294" count="1" selected="0">
            <x v="24"/>
          </reference>
        </references>
      </pivotArea>
    </format>
    <format dxfId="433">
      <pivotArea field="0" dataOnly="0" labelOnly="1" grandRow="1" outline="0" axis="axisRow" fieldPosition="0">
        <references count="1">
          <reference field="4294967294" count="1" selected="0">
            <x v="25"/>
          </reference>
        </references>
      </pivotArea>
    </format>
    <format dxfId="432">
      <pivotArea field="0" dataOnly="0" labelOnly="1" grandRow="1" outline="0" axis="axisRow" fieldPosition="0">
        <references count="1">
          <reference field="4294967294" count="1" selected="0">
            <x v="26"/>
          </reference>
        </references>
      </pivotArea>
    </format>
    <format dxfId="431">
      <pivotArea field="0" dataOnly="0" labelOnly="1" grandRow="1" outline="0" axis="axisRow" fieldPosition="0">
        <references count="1">
          <reference field="4294967294" count="1" selected="0">
            <x v="27"/>
          </reference>
        </references>
      </pivotArea>
    </format>
    <format dxfId="430">
      <pivotArea field="0" dataOnly="0" labelOnly="1" grandRow="1" outline="0" axis="axisRow" fieldPosition="0">
        <references count="1">
          <reference field="4294967294" count="1" selected="0">
            <x v="28"/>
          </reference>
        </references>
      </pivotArea>
    </format>
    <format dxfId="429">
      <pivotArea field="0" dataOnly="0" labelOnly="1" grandRow="1" outline="0" axis="axisRow" fieldPosition="0">
        <references count="1">
          <reference field="4294967294" count="1" selected="0">
            <x v="29"/>
          </reference>
        </references>
      </pivotArea>
    </format>
    <format dxfId="428">
      <pivotArea field="0" dataOnly="0" labelOnly="1" grandRow="1" outline="0" axis="axisRow" fieldPosition="0">
        <references count="1">
          <reference field="4294967294" count="1" selected="0">
            <x v="30"/>
          </reference>
        </references>
      </pivotArea>
    </format>
    <format dxfId="427">
      <pivotArea field="0" dataOnly="0" labelOnly="1" grandRow="1" outline="0" axis="axisRow" fieldPosition="0">
        <references count="1">
          <reference field="4294967294" count="1" selected="0">
            <x v="31"/>
          </reference>
        </references>
      </pivotArea>
    </format>
    <format dxfId="426">
      <pivotArea field="0" dataOnly="0" labelOnly="1" grandRow="1" outline="0" axis="axisRow" fieldPosition="0">
        <references count="1">
          <reference field="4294967294" count="1" selected="0">
            <x v="32"/>
          </reference>
        </references>
      </pivotArea>
    </format>
    <format dxfId="425">
      <pivotArea field="0" dataOnly="0" labelOnly="1" grandRow="1" outline="0" axis="axisRow" fieldPosition="0">
        <references count="1">
          <reference field="4294967294" count="1" selected="0">
            <x v="33"/>
          </reference>
        </references>
      </pivotArea>
    </format>
    <format dxfId="424">
      <pivotArea field="0" dataOnly="0" labelOnly="1" grandRow="1" outline="0" axis="axisRow" fieldPosition="0">
        <references count="1">
          <reference field="4294967294" count="1" selected="0">
            <x v="34"/>
          </reference>
        </references>
      </pivotArea>
    </format>
    <format dxfId="423">
      <pivotArea field="0" dataOnly="0" labelOnly="1" grandRow="1" outline="0" axis="axisRow" fieldPosition="0">
        <references count="1">
          <reference field="4294967294" count="1" selected="0">
            <x v="35"/>
          </reference>
        </references>
      </pivotArea>
    </format>
    <format dxfId="422">
      <pivotArea field="0" dataOnly="0" labelOnly="1" grandRow="1" outline="0" axis="axisRow" fieldPosition="0">
        <references count="1">
          <reference field="4294967294" count="1" selected="0">
            <x v="0"/>
          </reference>
        </references>
      </pivotArea>
    </format>
    <format dxfId="421">
      <pivotArea field="0" dataOnly="0" labelOnly="1" grandRow="1" outline="0" axis="axisRow" fieldPosition="0">
        <references count="1">
          <reference field="4294967294" count="1" selected="0">
            <x v="1"/>
          </reference>
        </references>
      </pivotArea>
    </format>
    <format dxfId="420">
      <pivotArea field="0" dataOnly="0" labelOnly="1" grandRow="1" outline="0" axis="axisRow" fieldPosition="0">
        <references count="1">
          <reference field="4294967294" count="1" selected="0">
            <x v="2"/>
          </reference>
        </references>
      </pivotArea>
    </format>
    <format dxfId="419">
      <pivotArea field="0" dataOnly="0" labelOnly="1" grandRow="1" outline="0" axis="axisRow" fieldPosition="0">
        <references count="1">
          <reference field="4294967294" count="1" selected="0">
            <x v="3"/>
          </reference>
        </references>
      </pivotArea>
    </format>
    <format dxfId="418">
      <pivotArea field="0" dataOnly="0" labelOnly="1" grandRow="1" outline="0" axis="axisRow" fieldPosition="0">
        <references count="1">
          <reference field="4294967294" count="1" selected="0">
            <x v="4"/>
          </reference>
        </references>
      </pivotArea>
    </format>
    <format dxfId="417">
      <pivotArea field="0" dataOnly="0" labelOnly="1" grandRow="1" outline="0" axis="axisRow" fieldPosition="0">
        <references count="1">
          <reference field="4294967294" count="1" selected="0">
            <x v="5"/>
          </reference>
        </references>
      </pivotArea>
    </format>
    <format dxfId="416">
      <pivotArea field="0" dataOnly="0" labelOnly="1" grandRow="1" outline="0" axis="axisRow" fieldPosition="0">
        <references count="1">
          <reference field="4294967294" count="1" selected="0">
            <x v="6"/>
          </reference>
        </references>
      </pivotArea>
    </format>
    <format dxfId="415">
      <pivotArea field="0" dataOnly="0" labelOnly="1" grandRow="1" outline="0" axis="axisRow" fieldPosition="0">
        <references count="1">
          <reference field="4294967294" count="1" selected="0">
            <x v="7"/>
          </reference>
        </references>
      </pivotArea>
    </format>
    <format dxfId="414">
      <pivotArea field="0" dataOnly="0" labelOnly="1" grandRow="1" outline="0" axis="axisRow" fieldPosition="0">
        <references count="1">
          <reference field="4294967294" count="1" selected="0">
            <x v="8"/>
          </reference>
        </references>
      </pivotArea>
    </format>
    <format dxfId="413">
      <pivotArea field="0" dataOnly="0" labelOnly="1" grandRow="1" outline="0" axis="axisRow" fieldPosition="0">
        <references count="1">
          <reference field="4294967294" count="1" selected="0">
            <x v="9"/>
          </reference>
        </references>
      </pivotArea>
    </format>
    <format dxfId="412">
      <pivotArea field="0" dataOnly="0" labelOnly="1" grandRow="1" outline="0" axis="axisRow" fieldPosition="0">
        <references count="1">
          <reference field="4294967294" count="1" selected="0">
            <x v="10"/>
          </reference>
        </references>
      </pivotArea>
    </format>
    <format dxfId="411">
      <pivotArea field="0" dataOnly="0" labelOnly="1" grandRow="1" outline="0" axis="axisRow" fieldPosition="0">
        <references count="1">
          <reference field="4294967294" count="1" selected="0">
            <x v="11"/>
          </reference>
        </references>
      </pivotArea>
    </format>
    <format dxfId="410">
      <pivotArea field="0" dataOnly="0" labelOnly="1" grandRow="1" outline="0" axis="axisRow" fieldPosition="0">
        <references count="1">
          <reference field="4294967294" count="1" selected="0">
            <x v="12"/>
          </reference>
        </references>
      </pivotArea>
    </format>
    <format dxfId="409">
      <pivotArea field="0" dataOnly="0" labelOnly="1" grandRow="1" outline="0" axis="axisRow" fieldPosition="0">
        <references count="1">
          <reference field="4294967294" count="1" selected="0">
            <x v="13"/>
          </reference>
        </references>
      </pivotArea>
    </format>
    <format dxfId="408">
      <pivotArea field="0" dataOnly="0" labelOnly="1" grandRow="1" outline="0" axis="axisRow" fieldPosition="0">
        <references count="1">
          <reference field="4294967294" count="1" selected="0">
            <x v="14"/>
          </reference>
        </references>
      </pivotArea>
    </format>
    <format dxfId="407">
      <pivotArea field="0" dataOnly="0" labelOnly="1" grandRow="1" outline="0" axis="axisRow" fieldPosition="0">
        <references count="1">
          <reference field="4294967294" count="1" selected="0">
            <x v="15"/>
          </reference>
        </references>
      </pivotArea>
    </format>
    <format dxfId="406">
      <pivotArea field="0" dataOnly="0" labelOnly="1" grandRow="1" outline="0" axis="axisRow" fieldPosition="0">
        <references count="1">
          <reference field="4294967294" count="1" selected="0">
            <x v="16"/>
          </reference>
        </references>
      </pivotArea>
    </format>
    <format dxfId="405">
      <pivotArea field="0" dataOnly="0" labelOnly="1" grandRow="1" outline="0" axis="axisRow" fieldPosition="0">
        <references count="1">
          <reference field="4294967294" count="1" selected="0">
            <x v="17"/>
          </reference>
        </references>
      </pivotArea>
    </format>
    <format dxfId="404">
      <pivotArea field="0" dataOnly="0" labelOnly="1" grandRow="1" outline="0" axis="axisRow" fieldPosition="0">
        <references count="1">
          <reference field="4294967294" count="1" selected="0">
            <x v="18"/>
          </reference>
        </references>
      </pivotArea>
    </format>
    <format dxfId="403">
      <pivotArea field="0" dataOnly="0" labelOnly="1" grandRow="1" outline="0" axis="axisRow" fieldPosition="0">
        <references count="1">
          <reference field="4294967294" count="1" selected="0">
            <x v="19"/>
          </reference>
        </references>
      </pivotArea>
    </format>
    <format dxfId="402">
      <pivotArea field="0" dataOnly="0" labelOnly="1" grandRow="1" outline="0" axis="axisRow" fieldPosition="0">
        <references count="1">
          <reference field="4294967294" count="1" selected="0">
            <x v="20"/>
          </reference>
        </references>
      </pivotArea>
    </format>
    <format dxfId="401">
      <pivotArea field="0" dataOnly="0" labelOnly="1" grandRow="1" outline="0" axis="axisRow" fieldPosition="0">
        <references count="1">
          <reference field="4294967294" count="1" selected="0">
            <x v="21"/>
          </reference>
        </references>
      </pivotArea>
    </format>
    <format dxfId="400">
      <pivotArea field="0" dataOnly="0" labelOnly="1" grandRow="1" outline="0" axis="axisRow" fieldPosition="0">
        <references count="1">
          <reference field="4294967294" count="1" selected="0">
            <x v="22"/>
          </reference>
        </references>
      </pivotArea>
    </format>
    <format dxfId="399">
      <pivotArea field="0" dataOnly="0" labelOnly="1" grandRow="1" outline="0" axis="axisRow" fieldPosition="0">
        <references count="1">
          <reference field="4294967294" count="1" selected="0">
            <x v="23"/>
          </reference>
        </references>
      </pivotArea>
    </format>
    <format dxfId="398">
      <pivotArea field="0" dataOnly="0" labelOnly="1" grandRow="1" outline="0" axis="axisRow" fieldPosition="0">
        <references count="1">
          <reference field="4294967294" count="1" selected="0">
            <x v="24"/>
          </reference>
        </references>
      </pivotArea>
    </format>
    <format dxfId="397">
      <pivotArea field="0" dataOnly="0" labelOnly="1" grandRow="1" outline="0" axis="axisRow" fieldPosition="0">
        <references count="1">
          <reference field="4294967294" count="1" selected="0">
            <x v="25"/>
          </reference>
        </references>
      </pivotArea>
    </format>
    <format dxfId="396">
      <pivotArea field="0" dataOnly="0" labelOnly="1" grandRow="1" outline="0" axis="axisRow" fieldPosition="0">
        <references count="1">
          <reference field="4294967294" count="1" selected="0">
            <x v="26"/>
          </reference>
        </references>
      </pivotArea>
    </format>
    <format dxfId="395">
      <pivotArea field="0" dataOnly="0" labelOnly="1" grandRow="1" outline="0" axis="axisRow" fieldPosition="0">
        <references count="1">
          <reference field="4294967294" count="1" selected="0">
            <x v="27"/>
          </reference>
        </references>
      </pivotArea>
    </format>
    <format dxfId="394">
      <pivotArea field="0" dataOnly="0" labelOnly="1" grandRow="1" outline="0" axis="axisRow" fieldPosition="0">
        <references count="1">
          <reference field="4294967294" count="1" selected="0">
            <x v="28"/>
          </reference>
        </references>
      </pivotArea>
    </format>
    <format dxfId="393">
      <pivotArea field="0" dataOnly="0" labelOnly="1" grandRow="1" outline="0" axis="axisRow" fieldPosition="0">
        <references count="1">
          <reference field="4294967294" count="1" selected="0">
            <x v="29"/>
          </reference>
        </references>
      </pivotArea>
    </format>
    <format dxfId="392">
      <pivotArea field="0" dataOnly="0" labelOnly="1" grandRow="1" outline="0" axis="axisRow" fieldPosition="0">
        <references count="1">
          <reference field="4294967294" count="1" selected="0">
            <x v="30"/>
          </reference>
        </references>
      </pivotArea>
    </format>
    <format dxfId="391">
      <pivotArea field="0" dataOnly="0" labelOnly="1" grandRow="1" outline="0" axis="axisRow" fieldPosition="0">
        <references count="1">
          <reference field="4294967294" count="1" selected="0">
            <x v="31"/>
          </reference>
        </references>
      </pivotArea>
    </format>
    <format dxfId="390">
      <pivotArea field="0" dataOnly="0" labelOnly="1" grandRow="1" outline="0" axis="axisRow" fieldPosition="0">
        <references count="1">
          <reference field="4294967294" count="1" selected="0">
            <x v="32"/>
          </reference>
        </references>
      </pivotArea>
    </format>
    <format dxfId="389">
      <pivotArea field="0" dataOnly="0" labelOnly="1" grandRow="1" outline="0" axis="axisRow" fieldPosition="0">
        <references count="1">
          <reference field="4294967294" count="1" selected="0">
            <x v="33"/>
          </reference>
        </references>
      </pivotArea>
    </format>
    <format dxfId="388">
      <pivotArea field="0" dataOnly="0" labelOnly="1" grandRow="1" outline="0" axis="axisRow" fieldPosition="0">
        <references count="1">
          <reference field="4294967294" count="1" selected="0">
            <x v="34"/>
          </reference>
        </references>
      </pivotArea>
    </format>
    <format dxfId="387">
      <pivotArea field="0" dataOnly="0" labelOnly="1" grandRow="1" outline="0" axis="axisRow" fieldPosition="0">
        <references count="1">
          <reference field="4294967294" count="1" selected="0">
            <x v="35"/>
          </reference>
        </references>
      </pivotArea>
    </format>
    <format dxfId="386">
      <pivotArea field="0" dataOnly="0" labelOnly="1" grandRow="1" outline="0" axis="axisRow" fieldPosition="0">
        <references count="1">
          <reference field="4294967294" count="1" selected="0">
            <x v="0"/>
          </reference>
        </references>
      </pivotArea>
    </format>
    <format dxfId="385">
      <pivotArea field="0" dataOnly="0" labelOnly="1" grandRow="1" outline="0" axis="axisRow" fieldPosition="0">
        <references count="1">
          <reference field="4294967294" count="1" selected="0">
            <x v="1"/>
          </reference>
        </references>
      </pivotArea>
    </format>
    <format dxfId="384">
      <pivotArea field="0" dataOnly="0" labelOnly="1" grandRow="1" outline="0" axis="axisRow" fieldPosition="0">
        <references count="1">
          <reference field="4294967294" count="1" selected="0">
            <x v="2"/>
          </reference>
        </references>
      </pivotArea>
    </format>
    <format dxfId="383">
      <pivotArea field="0" dataOnly="0" labelOnly="1" grandRow="1" outline="0" axis="axisRow" fieldPosition="0">
        <references count="1">
          <reference field="4294967294" count="1" selected="0">
            <x v="3"/>
          </reference>
        </references>
      </pivotArea>
    </format>
    <format dxfId="382">
      <pivotArea field="0" dataOnly="0" labelOnly="1" grandRow="1" outline="0" axis="axisRow" fieldPosition="0">
        <references count="1">
          <reference field="4294967294" count="1" selected="0">
            <x v="4"/>
          </reference>
        </references>
      </pivotArea>
    </format>
    <format dxfId="381">
      <pivotArea field="0" dataOnly="0" labelOnly="1" grandRow="1" outline="0" axis="axisRow" fieldPosition="0">
        <references count="1">
          <reference field="4294967294" count="1" selected="0">
            <x v="5"/>
          </reference>
        </references>
      </pivotArea>
    </format>
    <format dxfId="380">
      <pivotArea field="0" dataOnly="0" labelOnly="1" grandRow="1" outline="0" axis="axisRow" fieldPosition="0">
        <references count="1">
          <reference field="4294967294" count="1" selected="0">
            <x v="6"/>
          </reference>
        </references>
      </pivotArea>
    </format>
    <format dxfId="379">
      <pivotArea field="0" dataOnly="0" labelOnly="1" grandRow="1" outline="0" axis="axisRow" fieldPosition="0">
        <references count="1">
          <reference field="4294967294" count="1" selected="0">
            <x v="7"/>
          </reference>
        </references>
      </pivotArea>
    </format>
    <format dxfId="378">
      <pivotArea field="0" dataOnly="0" labelOnly="1" grandRow="1" outline="0" axis="axisRow" fieldPosition="0">
        <references count="1">
          <reference field="4294967294" count="1" selected="0">
            <x v="8"/>
          </reference>
        </references>
      </pivotArea>
    </format>
    <format dxfId="377">
      <pivotArea field="0" dataOnly="0" labelOnly="1" grandRow="1" outline="0" axis="axisRow" fieldPosition="0">
        <references count="1">
          <reference field="4294967294" count="1" selected="0">
            <x v="9"/>
          </reference>
        </references>
      </pivotArea>
    </format>
    <format dxfId="376">
      <pivotArea field="0" dataOnly="0" labelOnly="1" grandRow="1" outline="0" axis="axisRow" fieldPosition="0">
        <references count="1">
          <reference field="4294967294" count="1" selected="0">
            <x v="10"/>
          </reference>
        </references>
      </pivotArea>
    </format>
    <format dxfId="375">
      <pivotArea field="0" dataOnly="0" labelOnly="1" grandRow="1" outline="0" axis="axisRow" fieldPosition="0">
        <references count="1">
          <reference field="4294967294" count="1" selected="0">
            <x v="11"/>
          </reference>
        </references>
      </pivotArea>
    </format>
    <format dxfId="374">
      <pivotArea field="0" dataOnly="0" labelOnly="1" grandRow="1" outline="0" axis="axisRow" fieldPosition="0">
        <references count="1">
          <reference field="4294967294" count="1" selected="0">
            <x v="12"/>
          </reference>
        </references>
      </pivotArea>
    </format>
    <format dxfId="373">
      <pivotArea field="0" dataOnly="0" labelOnly="1" grandRow="1" outline="0" axis="axisRow" fieldPosition="0">
        <references count="1">
          <reference field="4294967294" count="1" selected="0">
            <x v="13"/>
          </reference>
        </references>
      </pivotArea>
    </format>
    <format dxfId="372">
      <pivotArea field="0" dataOnly="0" labelOnly="1" grandRow="1" outline="0" axis="axisRow" fieldPosition="0">
        <references count="1">
          <reference field="4294967294" count="1" selected="0">
            <x v="14"/>
          </reference>
        </references>
      </pivotArea>
    </format>
    <format dxfId="371">
      <pivotArea field="0" dataOnly="0" labelOnly="1" grandRow="1" outline="0" axis="axisRow" fieldPosition="0">
        <references count="1">
          <reference field="4294967294" count="1" selected="0">
            <x v="15"/>
          </reference>
        </references>
      </pivotArea>
    </format>
    <format dxfId="370">
      <pivotArea field="0" dataOnly="0" labelOnly="1" grandRow="1" outline="0" axis="axisRow" fieldPosition="0">
        <references count="1">
          <reference field="4294967294" count="1" selected="0">
            <x v="16"/>
          </reference>
        </references>
      </pivotArea>
    </format>
    <format dxfId="369">
      <pivotArea field="0" dataOnly="0" labelOnly="1" grandRow="1" outline="0" axis="axisRow" fieldPosition="0">
        <references count="1">
          <reference field="4294967294" count="1" selected="0">
            <x v="17"/>
          </reference>
        </references>
      </pivotArea>
    </format>
    <format dxfId="368">
      <pivotArea field="0" dataOnly="0" labelOnly="1" grandRow="1" outline="0" axis="axisRow" fieldPosition="0">
        <references count="1">
          <reference field="4294967294" count="1" selected="0">
            <x v="18"/>
          </reference>
        </references>
      </pivotArea>
    </format>
    <format dxfId="367">
      <pivotArea field="0" dataOnly="0" labelOnly="1" grandRow="1" outline="0" axis="axisRow" fieldPosition="0">
        <references count="1">
          <reference field="4294967294" count="1" selected="0">
            <x v="19"/>
          </reference>
        </references>
      </pivotArea>
    </format>
    <format dxfId="366">
      <pivotArea field="0" dataOnly="0" labelOnly="1" grandRow="1" outline="0" axis="axisRow" fieldPosition="0">
        <references count="1">
          <reference field="4294967294" count="1" selected="0">
            <x v="20"/>
          </reference>
        </references>
      </pivotArea>
    </format>
    <format dxfId="365">
      <pivotArea field="0" dataOnly="0" labelOnly="1" grandRow="1" outline="0" axis="axisRow" fieldPosition="0">
        <references count="1">
          <reference field="4294967294" count="1" selected="0">
            <x v="21"/>
          </reference>
        </references>
      </pivotArea>
    </format>
    <format dxfId="364">
      <pivotArea field="0" dataOnly="0" labelOnly="1" grandRow="1" outline="0" axis="axisRow" fieldPosition="0">
        <references count="1">
          <reference field="4294967294" count="1" selected="0">
            <x v="22"/>
          </reference>
        </references>
      </pivotArea>
    </format>
    <format dxfId="363">
      <pivotArea field="0" dataOnly="0" labelOnly="1" grandRow="1" outline="0" axis="axisRow" fieldPosition="0">
        <references count="1">
          <reference field="4294967294" count="1" selected="0">
            <x v="23"/>
          </reference>
        </references>
      </pivotArea>
    </format>
    <format dxfId="362">
      <pivotArea field="0" dataOnly="0" labelOnly="1" grandRow="1" outline="0" axis="axisRow" fieldPosition="0">
        <references count="1">
          <reference field="4294967294" count="1" selected="0">
            <x v="24"/>
          </reference>
        </references>
      </pivotArea>
    </format>
    <format dxfId="361">
      <pivotArea field="0" dataOnly="0" labelOnly="1" grandRow="1" outline="0" axis="axisRow" fieldPosition="0">
        <references count="1">
          <reference field="4294967294" count="1" selected="0">
            <x v="25"/>
          </reference>
        </references>
      </pivotArea>
    </format>
    <format dxfId="360">
      <pivotArea field="0" dataOnly="0" labelOnly="1" grandRow="1" outline="0" axis="axisRow" fieldPosition="0">
        <references count="1">
          <reference field="4294967294" count="1" selected="0">
            <x v="26"/>
          </reference>
        </references>
      </pivotArea>
    </format>
    <format dxfId="359">
      <pivotArea field="0" dataOnly="0" labelOnly="1" grandRow="1" outline="0" axis="axisRow" fieldPosition="0">
        <references count="1">
          <reference field="4294967294" count="1" selected="0">
            <x v="27"/>
          </reference>
        </references>
      </pivotArea>
    </format>
    <format dxfId="358">
      <pivotArea field="0" dataOnly="0" labelOnly="1" grandRow="1" outline="0" axis="axisRow" fieldPosition="0">
        <references count="1">
          <reference field="4294967294" count="1" selected="0">
            <x v="28"/>
          </reference>
        </references>
      </pivotArea>
    </format>
    <format dxfId="357">
      <pivotArea field="0" dataOnly="0" labelOnly="1" grandRow="1" outline="0" axis="axisRow" fieldPosition="0">
        <references count="1">
          <reference field="4294967294" count="1" selected="0">
            <x v="29"/>
          </reference>
        </references>
      </pivotArea>
    </format>
    <format dxfId="356">
      <pivotArea field="0" dataOnly="0" labelOnly="1" grandRow="1" outline="0" axis="axisRow" fieldPosition="0">
        <references count="1">
          <reference field="4294967294" count="1" selected="0">
            <x v="30"/>
          </reference>
        </references>
      </pivotArea>
    </format>
    <format dxfId="355">
      <pivotArea field="0" dataOnly="0" labelOnly="1" grandRow="1" outline="0" axis="axisRow" fieldPosition="0">
        <references count="1">
          <reference field="4294967294" count="1" selected="0">
            <x v="31"/>
          </reference>
        </references>
      </pivotArea>
    </format>
    <format dxfId="354">
      <pivotArea field="0" dataOnly="0" labelOnly="1" grandRow="1" outline="0" axis="axisRow" fieldPosition="0">
        <references count="1">
          <reference field="4294967294" count="1" selected="0">
            <x v="32"/>
          </reference>
        </references>
      </pivotArea>
    </format>
    <format dxfId="353">
      <pivotArea field="0" dataOnly="0" labelOnly="1" grandRow="1" outline="0" axis="axisRow" fieldPosition="0">
        <references count="1">
          <reference field="4294967294" count="1" selected="0">
            <x v="33"/>
          </reference>
        </references>
      </pivotArea>
    </format>
    <format dxfId="352">
      <pivotArea field="0" dataOnly="0" labelOnly="1" grandRow="1" outline="0" axis="axisRow" fieldPosition="0">
        <references count="1">
          <reference field="4294967294" count="1" selected="0">
            <x v="34"/>
          </reference>
        </references>
      </pivotArea>
    </format>
    <format dxfId="351">
      <pivotArea field="0" dataOnly="0" labelOnly="1" grandRow="1" outline="0" axis="axisRow" fieldPosition="0">
        <references count="1">
          <reference field="4294967294" count="1" selected="0">
            <x v="35"/>
          </reference>
        </references>
      </pivotArea>
    </format>
    <format dxfId="350">
      <pivotArea field="0" dataOnly="0" labelOnly="1" grandRow="1" outline="0" axis="axisRow" fieldPosition="0">
        <references count="1">
          <reference field="4294967294" count="1" selected="0">
            <x v="0"/>
          </reference>
        </references>
      </pivotArea>
    </format>
    <format dxfId="349">
      <pivotArea field="0" dataOnly="0" labelOnly="1" grandRow="1" outline="0" axis="axisRow" fieldPosition="0">
        <references count="1">
          <reference field="4294967294" count="1" selected="0">
            <x v="1"/>
          </reference>
        </references>
      </pivotArea>
    </format>
    <format dxfId="348">
      <pivotArea field="0" dataOnly="0" labelOnly="1" grandRow="1" outline="0" axis="axisRow" fieldPosition="0">
        <references count="1">
          <reference field="4294967294" count="1" selected="0">
            <x v="2"/>
          </reference>
        </references>
      </pivotArea>
    </format>
    <format dxfId="347">
      <pivotArea field="0" dataOnly="0" labelOnly="1" grandRow="1" outline="0" axis="axisRow" fieldPosition="0">
        <references count="1">
          <reference field="4294967294" count="1" selected="0">
            <x v="3"/>
          </reference>
        </references>
      </pivotArea>
    </format>
    <format dxfId="346">
      <pivotArea field="0" dataOnly="0" labelOnly="1" grandRow="1" outline="0" axis="axisRow" fieldPosition="0">
        <references count="1">
          <reference field="4294967294" count="1" selected="0">
            <x v="4"/>
          </reference>
        </references>
      </pivotArea>
    </format>
    <format dxfId="345">
      <pivotArea field="0" dataOnly="0" labelOnly="1" grandRow="1" outline="0" axis="axisRow" fieldPosition="0">
        <references count="1">
          <reference field="4294967294" count="1" selected="0">
            <x v="5"/>
          </reference>
        </references>
      </pivotArea>
    </format>
    <format dxfId="344">
      <pivotArea field="0" dataOnly="0" labelOnly="1" grandRow="1" outline="0" axis="axisRow" fieldPosition="0">
        <references count="1">
          <reference field="4294967294" count="1" selected="0">
            <x v="6"/>
          </reference>
        </references>
      </pivotArea>
    </format>
    <format dxfId="343">
      <pivotArea field="0" dataOnly="0" labelOnly="1" grandRow="1" outline="0" axis="axisRow" fieldPosition="0">
        <references count="1">
          <reference field="4294967294" count="1" selected="0">
            <x v="7"/>
          </reference>
        </references>
      </pivotArea>
    </format>
    <format dxfId="342">
      <pivotArea field="0" dataOnly="0" labelOnly="1" grandRow="1" outline="0" axis="axisRow" fieldPosition="0">
        <references count="1">
          <reference field="4294967294" count="1" selected="0">
            <x v="8"/>
          </reference>
        </references>
      </pivotArea>
    </format>
    <format dxfId="341">
      <pivotArea field="0" dataOnly="0" labelOnly="1" grandRow="1" outline="0" axis="axisRow" fieldPosition="0">
        <references count="1">
          <reference field="4294967294" count="1" selected="0">
            <x v="9"/>
          </reference>
        </references>
      </pivotArea>
    </format>
    <format dxfId="340">
      <pivotArea field="0" dataOnly="0" labelOnly="1" grandRow="1" outline="0" axis="axisRow" fieldPosition="0">
        <references count="1">
          <reference field="4294967294" count="1" selected="0">
            <x v="10"/>
          </reference>
        </references>
      </pivotArea>
    </format>
    <format dxfId="339">
      <pivotArea field="0" dataOnly="0" labelOnly="1" grandRow="1" outline="0" axis="axisRow" fieldPosition="0">
        <references count="1">
          <reference field="4294967294" count="1" selected="0">
            <x v="11"/>
          </reference>
        </references>
      </pivotArea>
    </format>
    <format dxfId="338">
      <pivotArea field="0" dataOnly="0" labelOnly="1" grandRow="1" outline="0" axis="axisRow" fieldPosition="0">
        <references count="1">
          <reference field="4294967294" count="1" selected="0">
            <x v="12"/>
          </reference>
        </references>
      </pivotArea>
    </format>
    <format dxfId="337">
      <pivotArea field="0" dataOnly="0" labelOnly="1" grandRow="1" outline="0" axis="axisRow" fieldPosition="0">
        <references count="1">
          <reference field="4294967294" count="1" selected="0">
            <x v="13"/>
          </reference>
        </references>
      </pivotArea>
    </format>
    <format dxfId="336">
      <pivotArea field="0" dataOnly="0" labelOnly="1" grandRow="1" outline="0" axis="axisRow" fieldPosition="0">
        <references count="1">
          <reference field="4294967294" count="1" selected="0">
            <x v="14"/>
          </reference>
        </references>
      </pivotArea>
    </format>
    <format dxfId="335">
      <pivotArea field="0" dataOnly="0" labelOnly="1" grandRow="1" outline="0" axis="axisRow" fieldPosition="0">
        <references count="1">
          <reference field="4294967294" count="1" selected="0">
            <x v="15"/>
          </reference>
        </references>
      </pivotArea>
    </format>
    <format dxfId="334">
      <pivotArea field="0" dataOnly="0" labelOnly="1" grandRow="1" outline="0" axis="axisRow" fieldPosition="0">
        <references count="1">
          <reference field="4294967294" count="1" selected="0">
            <x v="16"/>
          </reference>
        </references>
      </pivotArea>
    </format>
    <format dxfId="333">
      <pivotArea field="0" dataOnly="0" labelOnly="1" grandRow="1" outline="0" axis="axisRow" fieldPosition="0">
        <references count="1">
          <reference field="4294967294" count="1" selected="0">
            <x v="17"/>
          </reference>
        </references>
      </pivotArea>
    </format>
    <format dxfId="332">
      <pivotArea field="0" dataOnly="0" labelOnly="1" grandRow="1" outline="0" axis="axisRow" fieldPosition="0">
        <references count="1">
          <reference field="4294967294" count="1" selected="0">
            <x v="18"/>
          </reference>
        </references>
      </pivotArea>
    </format>
    <format dxfId="331">
      <pivotArea field="0" dataOnly="0" labelOnly="1" grandRow="1" outline="0" axis="axisRow" fieldPosition="0">
        <references count="1">
          <reference field="4294967294" count="1" selected="0">
            <x v="19"/>
          </reference>
        </references>
      </pivotArea>
    </format>
    <format dxfId="330">
      <pivotArea field="0" dataOnly="0" labelOnly="1" grandRow="1" outline="0" axis="axisRow" fieldPosition="0">
        <references count="1">
          <reference field="4294967294" count="1" selected="0">
            <x v="20"/>
          </reference>
        </references>
      </pivotArea>
    </format>
    <format dxfId="329">
      <pivotArea field="0" dataOnly="0" labelOnly="1" grandRow="1" outline="0" axis="axisRow" fieldPosition="0">
        <references count="1">
          <reference field="4294967294" count="1" selected="0">
            <x v="21"/>
          </reference>
        </references>
      </pivotArea>
    </format>
    <format dxfId="328">
      <pivotArea field="0" dataOnly="0" labelOnly="1" grandRow="1" outline="0" axis="axisRow" fieldPosition="0">
        <references count="1">
          <reference field="4294967294" count="1" selected="0">
            <x v="22"/>
          </reference>
        </references>
      </pivotArea>
    </format>
    <format dxfId="327">
      <pivotArea field="0" dataOnly="0" labelOnly="1" grandRow="1" outline="0" axis="axisRow" fieldPosition="0">
        <references count="1">
          <reference field="4294967294" count="1" selected="0">
            <x v="23"/>
          </reference>
        </references>
      </pivotArea>
    </format>
    <format dxfId="326">
      <pivotArea field="0" dataOnly="0" labelOnly="1" grandRow="1" outline="0" axis="axisRow" fieldPosition="0">
        <references count="1">
          <reference field="4294967294" count="1" selected="0">
            <x v="24"/>
          </reference>
        </references>
      </pivotArea>
    </format>
    <format dxfId="325">
      <pivotArea field="0" dataOnly="0" labelOnly="1" grandRow="1" outline="0" axis="axisRow" fieldPosition="0">
        <references count="1">
          <reference field="4294967294" count="1" selected="0">
            <x v="25"/>
          </reference>
        </references>
      </pivotArea>
    </format>
    <format dxfId="324">
      <pivotArea field="0" dataOnly="0" labelOnly="1" grandRow="1" outline="0" axis="axisRow" fieldPosition="0">
        <references count="1">
          <reference field="4294967294" count="1" selected="0">
            <x v="26"/>
          </reference>
        </references>
      </pivotArea>
    </format>
    <format dxfId="323">
      <pivotArea field="0" dataOnly="0" labelOnly="1" grandRow="1" outline="0" axis="axisRow" fieldPosition="0">
        <references count="1">
          <reference field="4294967294" count="1" selected="0">
            <x v="27"/>
          </reference>
        </references>
      </pivotArea>
    </format>
    <format dxfId="322">
      <pivotArea field="0" dataOnly="0" labelOnly="1" grandRow="1" outline="0" axis="axisRow" fieldPosition="0">
        <references count="1">
          <reference field="4294967294" count="1" selected="0">
            <x v="28"/>
          </reference>
        </references>
      </pivotArea>
    </format>
    <format dxfId="321">
      <pivotArea field="0" dataOnly="0" labelOnly="1" grandRow="1" outline="0" axis="axisRow" fieldPosition="0">
        <references count="1">
          <reference field="4294967294" count="1" selected="0">
            <x v="29"/>
          </reference>
        </references>
      </pivotArea>
    </format>
    <format dxfId="320">
      <pivotArea field="0" dataOnly="0" labelOnly="1" grandRow="1" outline="0" axis="axisRow" fieldPosition="0">
        <references count="1">
          <reference field="4294967294" count="1" selected="0">
            <x v="30"/>
          </reference>
        </references>
      </pivotArea>
    </format>
    <format dxfId="319">
      <pivotArea field="0" dataOnly="0" labelOnly="1" grandRow="1" outline="0" axis="axisRow" fieldPosition="0">
        <references count="1">
          <reference field="4294967294" count="1" selected="0">
            <x v="31"/>
          </reference>
        </references>
      </pivotArea>
    </format>
    <format dxfId="318">
      <pivotArea field="0" dataOnly="0" labelOnly="1" grandRow="1" outline="0" axis="axisRow" fieldPosition="0">
        <references count="1">
          <reference field="4294967294" count="1" selected="0">
            <x v="32"/>
          </reference>
        </references>
      </pivotArea>
    </format>
    <format dxfId="317">
      <pivotArea field="0" dataOnly="0" labelOnly="1" grandRow="1" outline="0" axis="axisRow" fieldPosition="0">
        <references count="1">
          <reference field="4294967294" count="1" selected="0">
            <x v="33"/>
          </reference>
        </references>
      </pivotArea>
    </format>
    <format dxfId="316">
      <pivotArea field="0" dataOnly="0" labelOnly="1" grandRow="1" outline="0" axis="axisRow" fieldPosition="0">
        <references count="1">
          <reference field="4294967294" count="1" selected="0">
            <x v="34"/>
          </reference>
        </references>
      </pivotArea>
    </format>
    <format dxfId="315">
      <pivotArea field="0" dataOnly="0" labelOnly="1" grandRow="1" outline="0" axis="axisRow" fieldPosition="0">
        <references count="1">
          <reference field="4294967294" count="1" selected="0">
            <x v="35"/>
          </reference>
        </references>
      </pivotArea>
    </format>
    <format dxfId="314">
      <pivotArea field="0" dataOnly="0" labelOnly="1" grandRow="1" outline="0" axis="axisRow" fieldPosition="0">
        <references count="1">
          <reference field="4294967294" count="1" selected="0">
            <x v="0"/>
          </reference>
        </references>
      </pivotArea>
    </format>
    <format dxfId="313">
      <pivotArea field="0" dataOnly="0" labelOnly="1" grandRow="1" outline="0" axis="axisRow" fieldPosition="0">
        <references count="1">
          <reference field="4294967294" count="1" selected="0">
            <x v="1"/>
          </reference>
        </references>
      </pivotArea>
    </format>
    <format dxfId="312">
      <pivotArea field="0" dataOnly="0" labelOnly="1" grandRow="1" outline="0" axis="axisRow" fieldPosition="0">
        <references count="1">
          <reference field="4294967294" count="1" selected="0">
            <x v="2"/>
          </reference>
        </references>
      </pivotArea>
    </format>
    <format dxfId="311">
      <pivotArea field="0" dataOnly="0" labelOnly="1" grandRow="1" outline="0" axis="axisRow" fieldPosition="0">
        <references count="1">
          <reference field="4294967294" count="1" selected="0">
            <x v="3"/>
          </reference>
        </references>
      </pivotArea>
    </format>
    <format dxfId="310">
      <pivotArea field="0" dataOnly="0" labelOnly="1" grandRow="1" outline="0" axis="axisRow" fieldPosition="0">
        <references count="1">
          <reference field="4294967294" count="1" selected="0">
            <x v="4"/>
          </reference>
        </references>
      </pivotArea>
    </format>
    <format dxfId="309">
      <pivotArea field="0" dataOnly="0" labelOnly="1" grandRow="1" outline="0" axis="axisRow" fieldPosition="0">
        <references count="1">
          <reference field="4294967294" count="1" selected="0">
            <x v="5"/>
          </reference>
        </references>
      </pivotArea>
    </format>
    <format dxfId="308">
      <pivotArea field="0" dataOnly="0" labelOnly="1" grandRow="1" outline="0" axis="axisRow" fieldPosition="0">
        <references count="1">
          <reference field="4294967294" count="1" selected="0">
            <x v="6"/>
          </reference>
        </references>
      </pivotArea>
    </format>
    <format dxfId="307">
      <pivotArea field="0" dataOnly="0" labelOnly="1" grandRow="1" outline="0" axis="axisRow" fieldPosition="0">
        <references count="1">
          <reference field="4294967294" count="1" selected="0">
            <x v="7"/>
          </reference>
        </references>
      </pivotArea>
    </format>
    <format dxfId="306">
      <pivotArea field="0" dataOnly="0" labelOnly="1" grandRow="1" outline="0" axis="axisRow" fieldPosition="0">
        <references count="1">
          <reference field="4294967294" count="1" selected="0">
            <x v="8"/>
          </reference>
        </references>
      </pivotArea>
    </format>
    <format dxfId="305">
      <pivotArea field="0" dataOnly="0" labelOnly="1" grandRow="1" outline="0" axis="axisRow" fieldPosition="0">
        <references count="1">
          <reference field="4294967294" count="1" selected="0">
            <x v="9"/>
          </reference>
        </references>
      </pivotArea>
    </format>
    <format dxfId="304">
      <pivotArea field="0" dataOnly="0" labelOnly="1" grandRow="1" outline="0" axis="axisRow" fieldPosition="0">
        <references count="1">
          <reference field="4294967294" count="1" selected="0">
            <x v="10"/>
          </reference>
        </references>
      </pivotArea>
    </format>
    <format dxfId="303">
      <pivotArea field="0" dataOnly="0" labelOnly="1" grandRow="1" outline="0" axis="axisRow" fieldPosition="0">
        <references count="1">
          <reference field="4294967294" count="1" selected="0">
            <x v="11"/>
          </reference>
        </references>
      </pivotArea>
    </format>
    <format dxfId="302">
      <pivotArea field="0" dataOnly="0" labelOnly="1" grandRow="1" outline="0" axis="axisRow" fieldPosition="0">
        <references count="1">
          <reference field="4294967294" count="1" selected="0">
            <x v="12"/>
          </reference>
        </references>
      </pivotArea>
    </format>
    <format dxfId="301">
      <pivotArea field="0" dataOnly="0" labelOnly="1" grandRow="1" outline="0" axis="axisRow" fieldPosition="0">
        <references count="1">
          <reference field="4294967294" count="1" selected="0">
            <x v="13"/>
          </reference>
        </references>
      </pivotArea>
    </format>
    <format dxfId="300">
      <pivotArea field="0" dataOnly="0" labelOnly="1" grandRow="1" outline="0" axis="axisRow" fieldPosition="0">
        <references count="1">
          <reference field="4294967294" count="1" selected="0">
            <x v="14"/>
          </reference>
        </references>
      </pivotArea>
    </format>
    <format dxfId="299">
      <pivotArea field="0" dataOnly="0" labelOnly="1" grandRow="1" outline="0" axis="axisRow" fieldPosition="0">
        <references count="1">
          <reference field="4294967294" count="1" selected="0">
            <x v="15"/>
          </reference>
        </references>
      </pivotArea>
    </format>
    <format dxfId="298">
      <pivotArea field="0" dataOnly="0" labelOnly="1" grandRow="1" outline="0" axis="axisRow" fieldPosition="0">
        <references count="1">
          <reference field="4294967294" count="1" selected="0">
            <x v="16"/>
          </reference>
        </references>
      </pivotArea>
    </format>
    <format dxfId="297">
      <pivotArea field="0" dataOnly="0" labelOnly="1" grandRow="1" outline="0" axis="axisRow" fieldPosition="0">
        <references count="1">
          <reference field="4294967294" count="1" selected="0">
            <x v="17"/>
          </reference>
        </references>
      </pivotArea>
    </format>
    <format dxfId="296">
      <pivotArea field="0" dataOnly="0" labelOnly="1" grandRow="1" outline="0" axis="axisRow" fieldPosition="0">
        <references count="1">
          <reference field="4294967294" count="1" selected="0">
            <x v="18"/>
          </reference>
        </references>
      </pivotArea>
    </format>
    <format dxfId="295">
      <pivotArea field="0" dataOnly="0" labelOnly="1" grandRow="1" outline="0" axis="axisRow" fieldPosition="0">
        <references count="1">
          <reference field="4294967294" count="1" selected="0">
            <x v="19"/>
          </reference>
        </references>
      </pivotArea>
    </format>
    <format dxfId="294">
      <pivotArea field="0" dataOnly="0" labelOnly="1" grandRow="1" outline="0" axis="axisRow" fieldPosition="0">
        <references count="1">
          <reference field="4294967294" count="1" selected="0">
            <x v="20"/>
          </reference>
        </references>
      </pivotArea>
    </format>
    <format dxfId="293">
      <pivotArea field="0" dataOnly="0" labelOnly="1" grandRow="1" outline="0" axis="axisRow" fieldPosition="0">
        <references count="1">
          <reference field="4294967294" count="1" selected="0">
            <x v="21"/>
          </reference>
        </references>
      </pivotArea>
    </format>
    <format dxfId="292">
      <pivotArea field="0" dataOnly="0" labelOnly="1" grandRow="1" outline="0" axis="axisRow" fieldPosition="0">
        <references count="1">
          <reference field="4294967294" count="1" selected="0">
            <x v="22"/>
          </reference>
        </references>
      </pivotArea>
    </format>
    <format dxfId="291">
      <pivotArea field="0" dataOnly="0" labelOnly="1" grandRow="1" outline="0" axis="axisRow" fieldPosition="0">
        <references count="1">
          <reference field="4294967294" count="1" selected="0">
            <x v="23"/>
          </reference>
        </references>
      </pivotArea>
    </format>
    <format dxfId="290">
      <pivotArea field="0" dataOnly="0" labelOnly="1" grandRow="1" outline="0" axis="axisRow" fieldPosition="0">
        <references count="1">
          <reference field="4294967294" count="1" selected="0">
            <x v="24"/>
          </reference>
        </references>
      </pivotArea>
    </format>
    <format dxfId="289">
      <pivotArea field="0" dataOnly="0" labelOnly="1" grandRow="1" outline="0" axis="axisRow" fieldPosition="0">
        <references count="1">
          <reference field="4294967294" count="1" selected="0">
            <x v="25"/>
          </reference>
        </references>
      </pivotArea>
    </format>
    <format dxfId="288">
      <pivotArea field="0" dataOnly="0" labelOnly="1" grandRow="1" outline="0" axis="axisRow" fieldPosition="0">
        <references count="1">
          <reference field="4294967294" count="1" selected="0">
            <x v="26"/>
          </reference>
        </references>
      </pivotArea>
    </format>
    <format dxfId="287">
      <pivotArea field="0" dataOnly="0" labelOnly="1" grandRow="1" outline="0" axis="axisRow" fieldPosition="0">
        <references count="1">
          <reference field="4294967294" count="1" selected="0">
            <x v="27"/>
          </reference>
        </references>
      </pivotArea>
    </format>
    <format dxfId="286">
      <pivotArea field="0" dataOnly="0" labelOnly="1" grandRow="1" outline="0" axis="axisRow" fieldPosition="0">
        <references count="1">
          <reference field="4294967294" count="1" selected="0">
            <x v="28"/>
          </reference>
        </references>
      </pivotArea>
    </format>
    <format dxfId="285">
      <pivotArea field="0" dataOnly="0" labelOnly="1" grandRow="1" outline="0" axis="axisRow" fieldPosition="0">
        <references count="1">
          <reference field="4294967294" count="1" selected="0">
            <x v="29"/>
          </reference>
        </references>
      </pivotArea>
    </format>
    <format dxfId="284">
      <pivotArea field="0" dataOnly="0" labelOnly="1" grandRow="1" outline="0" axis="axisRow" fieldPosition="0">
        <references count="1">
          <reference field="4294967294" count="1" selected="0">
            <x v="30"/>
          </reference>
        </references>
      </pivotArea>
    </format>
    <format dxfId="283">
      <pivotArea field="0" dataOnly="0" labelOnly="1" grandRow="1" outline="0" axis="axisRow" fieldPosition="0">
        <references count="1">
          <reference field="4294967294" count="1" selected="0">
            <x v="31"/>
          </reference>
        </references>
      </pivotArea>
    </format>
    <format dxfId="282">
      <pivotArea field="0" dataOnly="0" labelOnly="1" grandRow="1" outline="0" axis="axisRow" fieldPosition="0">
        <references count="1">
          <reference field="4294967294" count="1" selected="0">
            <x v="32"/>
          </reference>
        </references>
      </pivotArea>
    </format>
    <format dxfId="281">
      <pivotArea field="0" dataOnly="0" labelOnly="1" grandRow="1" outline="0" axis="axisRow" fieldPosition="0">
        <references count="1">
          <reference field="4294967294" count="1" selected="0">
            <x v="33"/>
          </reference>
        </references>
      </pivotArea>
    </format>
    <format dxfId="280">
      <pivotArea field="0" dataOnly="0" labelOnly="1" grandRow="1" outline="0" axis="axisRow" fieldPosition="0">
        <references count="1">
          <reference field="4294967294" count="1" selected="0">
            <x v="34"/>
          </reference>
        </references>
      </pivotArea>
    </format>
    <format dxfId="279">
      <pivotArea field="0" dataOnly="0" labelOnly="1" grandRow="1" outline="0" axis="axisRow" fieldPosition="0">
        <references count="1">
          <reference field="4294967294" count="1" selected="0">
            <x v="35"/>
          </reference>
        </references>
      </pivotArea>
    </format>
    <format dxfId="278">
      <pivotArea field="0" dataOnly="0" labelOnly="1" grandRow="1" outline="0" axis="axisRow" fieldPosition="0">
        <references count="1">
          <reference field="4294967294" count="1" selected="0">
            <x v="0"/>
          </reference>
        </references>
      </pivotArea>
    </format>
    <format dxfId="277">
      <pivotArea field="0" dataOnly="0" labelOnly="1" grandRow="1" outline="0" axis="axisRow" fieldPosition="0">
        <references count="1">
          <reference field="4294967294" count="1" selected="0">
            <x v="1"/>
          </reference>
        </references>
      </pivotArea>
    </format>
    <format dxfId="276">
      <pivotArea field="0" dataOnly="0" labelOnly="1" grandRow="1" outline="0" axis="axisRow" fieldPosition="0">
        <references count="1">
          <reference field="4294967294" count="1" selected="0">
            <x v="2"/>
          </reference>
        </references>
      </pivotArea>
    </format>
    <format dxfId="275">
      <pivotArea field="0" dataOnly="0" labelOnly="1" grandRow="1" outline="0" axis="axisRow" fieldPosition="0">
        <references count="1">
          <reference field="4294967294" count="1" selected="0">
            <x v="3"/>
          </reference>
        </references>
      </pivotArea>
    </format>
    <format dxfId="274">
      <pivotArea field="0" dataOnly="0" labelOnly="1" grandRow="1" outline="0" axis="axisRow" fieldPosition="0">
        <references count="1">
          <reference field="4294967294" count="1" selected="0">
            <x v="4"/>
          </reference>
        </references>
      </pivotArea>
    </format>
    <format dxfId="273">
      <pivotArea field="0" dataOnly="0" labelOnly="1" grandRow="1" outline="0" axis="axisRow" fieldPosition="0">
        <references count="1">
          <reference field="4294967294" count="1" selected="0">
            <x v="5"/>
          </reference>
        </references>
      </pivotArea>
    </format>
    <format dxfId="272">
      <pivotArea field="0" dataOnly="0" labelOnly="1" grandRow="1" outline="0" axis="axisRow" fieldPosition="0">
        <references count="1">
          <reference field="4294967294" count="1" selected="0">
            <x v="6"/>
          </reference>
        </references>
      </pivotArea>
    </format>
    <format dxfId="271">
      <pivotArea field="0" dataOnly="0" labelOnly="1" grandRow="1" outline="0" axis="axisRow" fieldPosition="0">
        <references count="1">
          <reference field="4294967294" count="1" selected="0">
            <x v="7"/>
          </reference>
        </references>
      </pivotArea>
    </format>
    <format dxfId="270">
      <pivotArea field="0" dataOnly="0" labelOnly="1" grandRow="1" outline="0" axis="axisRow" fieldPosition="0">
        <references count="1">
          <reference field="4294967294" count="1" selected="0">
            <x v="8"/>
          </reference>
        </references>
      </pivotArea>
    </format>
    <format dxfId="269">
      <pivotArea field="0" dataOnly="0" labelOnly="1" grandRow="1" outline="0" axis="axisRow" fieldPosition="0">
        <references count="1">
          <reference field="4294967294" count="1" selected="0">
            <x v="9"/>
          </reference>
        </references>
      </pivotArea>
    </format>
    <format dxfId="268">
      <pivotArea field="0" dataOnly="0" labelOnly="1" grandRow="1" outline="0" axis="axisRow" fieldPosition="0">
        <references count="1">
          <reference field="4294967294" count="1" selected="0">
            <x v="10"/>
          </reference>
        </references>
      </pivotArea>
    </format>
    <format dxfId="267">
      <pivotArea field="0" dataOnly="0" labelOnly="1" grandRow="1" outline="0" axis="axisRow" fieldPosition="0">
        <references count="1">
          <reference field="4294967294" count="1" selected="0">
            <x v="11"/>
          </reference>
        </references>
      </pivotArea>
    </format>
    <format dxfId="266">
      <pivotArea field="0" dataOnly="0" labelOnly="1" grandRow="1" outline="0" axis="axisRow" fieldPosition="0">
        <references count="1">
          <reference field="4294967294" count="1" selected="0">
            <x v="12"/>
          </reference>
        </references>
      </pivotArea>
    </format>
    <format dxfId="265">
      <pivotArea field="0" dataOnly="0" labelOnly="1" grandRow="1" outline="0" axis="axisRow" fieldPosition="0">
        <references count="1">
          <reference field="4294967294" count="1" selected="0">
            <x v="13"/>
          </reference>
        </references>
      </pivotArea>
    </format>
    <format dxfId="264">
      <pivotArea field="0" dataOnly="0" labelOnly="1" grandRow="1" outline="0" axis="axisRow" fieldPosition="0">
        <references count="1">
          <reference field="4294967294" count="1" selected="0">
            <x v="14"/>
          </reference>
        </references>
      </pivotArea>
    </format>
    <format dxfId="263">
      <pivotArea field="0" dataOnly="0" labelOnly="1" grandRow="1" outline="0" axis="axisRow" fieldPosition="0">
        <references count="1">
          <reference field="4294967294" count="1" selected="0">
            <x v="15"/>
          </reference>
        </references>
      </pivotArea>
    </format>
    <format dxfId="262">
      <pivotArea field="0" dataOnly="0" labelOnly="1" grandRow="1" outline="0" axis="axisRow" fieldPosition="0">
        <references count="1">
          <reference field="4294967294" count="1" selected="0">
            <x v="16"/>
          </reference>
        </references>
      </pivotArea>
    </format>
    <format dxfId="261">
      <pivotArea field="0" dataOnly="0" labelOnly="1" grandRow="1" outline="0" axis="axisRow" fieldPosition="0">
        <references count="1">
          <reference field="4294967294" count="1" selected="0">
            <x v="17"/>
          </reference>
        </references>
      </pivotArea>
    </format>
    <format dxfId="260">
      <pivotArea field="0" dataOnly="0" labelOnly="1" grandRow="1" outline="0" axis="axisRow" fieldPosition="0">
        <references count="1">
          <reference field="4294967294" count="1" selected="0">
            <x v="18"/>
          </reference>
        </references>
      </pivotArea>
    </format>
    <format dxfId="259">
      <pivotArea field="0" dataOnly="0" labelOnly="1" grandRow="1" outline="0" axis="axisRow" fieldPosition="0">
        <references count="1">
          <reference field="4294967294" count="1" selected="0">
            <x v="19"/>
          </reference>
        </references>
      </pivotArea>
    </format>
    <format dxfId="258">
      <pivotArea field="0" dataOnly="0" labelOnly="1" grandRow="1" outline="0" axis="axisRow" fieldPosition="0">
        <references count="1">
          <reference field="4294967294" count="1" selected="0">
            <x v="20"/>
          </reference>
        </references>
      </pivotArea>
    </format>
    <format dxfId="257">
      <pivotArea field="0" dataOnly="0" labelOnly="1" grandRow="1" outline="0" axis="axisRow" fieldPosition="0">
        <references count="1">
          <reference field="4294967294" count="1" selected="0">
            <x v="21"/>
          </reference>
        </references>
      </pivotArea>
    </format>
    <format dxfId="256">
      <pivotArea field="0" dataOnly="0" labelOnly="1" grandRow="1" outline="0" axis="axisRow" fieldPosition="0">
        <references count="1">
          <reference field="4294967294" count="1" selected="0">
            <x v="22"/>
          </reference>
        </references>
      </pivotArea>
    </format>
    <format dxfId="255">
      <pivotArea field="0" dataOnly="0" labelOnly="1" grandRow="1" outline="0" axis="axisRow" fieldPosition="0">
        <references count="1">
          <reference field="4294967294" count="1" selected="0">
            <x v="23"/>
          </reference>
        </references>
      </pivotArea>
    </format>
    <format dxfId="254">
      <pivotArea field="0" dataOnly="0" labelOnly="1" grandRow="1" outline="0" axis="axisRow" fieldPosition="0">
        <references count="1">
          <reference field="4294967294" count="1" selected="0">
            <x v="24"/>
          </reference>
        </references>
      </pivotArea>
    </format>
    <format dxfId="253">
      <pivotArea field="0" dataOnly="0" labelOnly="1" grandRow="1" outline="0" axis="axisRow" fieldPosition="0">
        <references count="1">
          <reference field="4294967294" count="1" selected="0">
            <x v="25"/>
          </reference>
        </references>
      </pivotArea>
    </format>
    <format dxfId="252">
      <pivotArea field="0" dataOnly="0" labelOnly="1" grandRow="1" outline="0" axis="axisRow" fieldPosition="0">
        <references count="1">
          <reference field="4294967294" count="1" selected="0">
            <x v="26"/>
          </reference>
        </references>
      </pivotArea>
    </format>
    <format dxfId="251">
      <pivotArea field="0" dataOnly="0" labelOnly="1" grandRow="1" outline="0" axis="axisRow" fieldPosition="0">
        <references count="1">
          <reference field="4294967294" count="1" selected="0">
            <x v="27"/>
          </reference>
        </references>
      </pivotArea>
    </format>
    <format dxfId="250">
      <pivotArea field="0" dataOnly="0" labelOnly="1" grandRow="1" outline="0" axis="axisRow" fieldPosition="0">
        <references count="1">
          <reference field="4294967294" count="1" selected="0">
            <x v="28"/>
          </reference>
        </references>
      </pivotArea>
    </format>
    <format dxfId="249">
      <pivotArea field="0" dataOnly="0" labelOnly="1" grandRow="1" outline="0" axis="axisRow" fieldPosition="0">
        <references count="1">
          <reference field="4294967294" count="1" selected="0">
            <x v="29"/>
          </reference>
        </references>
      </pivotArea>
    </format>
    <format dxfId="248">
      <pivotArea field="0" dataOnly="0" labelOnly="1" grandRow="1" outline="0" axis="axisRow" fieldPosition="0">
        <references count="1">
          <reference field="4294967294" count="1" selected="0">
            <x v="30"/>
          </reference>
        </references>
      </pivotArea>
    </format>
    <format dxfId="247">
      <pivotArea field="0" dataOnly="0" labelOnly="1" grandRow="1" outline="0" axis="axisRow" fieldPosition="0">
        <references count="1">
          <reference field="4294967294" count="1" selected="0">
            <x v="31"/>
          </reference>
        </references>
      </pivotArea>
    </format>
    <format dxfId="246">
      <pivotArea field="0" dataOnly="0" labelOnly="1" grandRow="1" outline="0" axis="axisRow" fieldPosition="0">
        <references count="1">
          <reference field="4294967294" count="1" selected="0">
            <x v="32"/>
          </reference>
        </references>
      </pivotArea>
    </format>
    <format dxfId="245">
      <pivotArea field="0" dataOnly="0" labelOnly="1" grandRow="1" outline="0" axis="axisRow" fieldPosition="0">
        <references count="1">
          <reference field="4294967294" count="1" selected="0">
            <x v="33"/>
          </reference>
        </references>
      </pivotArea>
    </format>
    <format dxfId="244">
      <pivotArea field="0" dataOnly="0" labelOnly="1" grandRow="1" outline="0" axis="axisRow" fieldPosition="0">
        <references count="1">
          <reference field="4294967294" count="1" selected="0">
            <x v="34"/>
          </reference>
        </references>
      </pivotArea>
    </format>
    <format dxfId="243">
      <pivotArea field="0" dataOnly="0" labelOnly="1" grandRow="1" outline="0" axis="axisRow" fieldPosition="0">
        <references count="1">
          <reference field="4294967294" count="1" selected="0">
            <x v="35"/>
          </reference>
        </references>
      </pivotArea>
    </format>
    <format dxfId="242">
      <pivotArea field="0" dataOnly="0" labelOnly="1" grandRow="1" outline="0" axis="axisRow" fieldPosition="0">
        <references count="1">
          <reference field="4294967294" count="1" selected="0">
            <x v="0"/>
          </reference>
        </references>
      </pivotArea>
    </format>
    <format dxfId="241">
      <pivotArea field="0" dataOnly="0" labelOnly="1" grandRow="1" outline="0" axis="axisRow" fieldPosition="0">
        <references count="1">
          <reference field="4294967294" count="1" selected="0">
            <x v="1"/>
          </reference>
        </references>
      </pivotArea>
    </format>
    <format dxfId="240">
      <pivotArea field="0" dataOnly="0" labelOnly="1" grandRow="1" outline="0" axis="axisRow" fieldPosition="0">
        <references count="1">
          <reference field="4294967294" count="1" selected="0">
            <x v="2"/>
          </reference>
        </references>
      </pivotArea>
    </format>
    <format dxfId="239">
      <pivotArea field="0" dataOnly="0" labelOnly="1" grandRow="1" outline="0" axis="axisRow" fieldPosition="0">
        <references count="1">
          <reference field="4294967294" count="1" selected="0">
            <x v="3"/>
          </reference>
        </references>
      </pivotArea>
    </format>
    <format dxfId="238">
      <pivotArea field="0" dataOnly="0" labelOnly="1" grandRow="1" outline="0" axis="axisRow" fieldPosition="0">
        <references count="1">
          <reference field="4294967294" count="1" selected="0">
            <x v="4"/>
          </reference>
        </references>
      </pivotArea>
    </format>
    <format dxfId="237">
      <pivotArea field="0" dataOnly="0" labelOnly="1" grandRow="1" outline="0" axis="axisRow" fieldPosition="0">
        <references count="1">
          <reference field="4294967294" count="1" selected="0">
            <x v="5"/>
          </reference>
        </references>
      </pivotArea>
    </format>
    <format dxfId="236">
      <pivotArea field="0" dataOnly="0" labelOnly="1" grandRow="1" outline="0" axis="axisRow" fieldPosition="0">
        <references count="1">
          <reference field="4294967294" count="1" selected="0">
            <x v="6"/>
          </reference>
        </references>
      </pivotArea>
    </format>
    <format dxfId="235">
      <pivotArea field="0" dataOnly="0" labelOnly="1" grandRow="1" outline="0" axis="axisRow" fieldPosition="0">
        <references count="1">
          <reference field="4294967294" count="1" selected="0">
            <x v="7"/>
          </reference>
        </references>
      </pivotArea>
    </format>
    <format dxfId="234">
      <pivotArea field="0" dataOnly="0" labelOnly="1" grandRow="1" outline="0" axis="axisRow" fieldPosition="0">
        <references count="1">
          <reference field="4294967294" count="1" selected="0">
            <x v="8"/>
          </reference>
        </references>
      </pivotArea>
    </format>
    <format dxfId="233">
      <pivotArea field="0" dataOnly="0" labelOnly="1" grandRow="1" outline="0" axis="axisRow" fieldPosition="0">
        <references count="1">
          <reference field="4294967294" count="1" selected="0">
            <x v="9"/>
          </reference>
        </references>
      </pivotArea>
    </format>
    <format dxfId="232">
      <pivotArea field="0" dataOnly="0" labelOnly="1" grandRow="1" outline="0" axis="axisRow" fieldPosition="0">
        <references count="1">
          <reference field="4294967294" count="1" selected="0">
            <x v="10"/>
          </reference>
        </references>
      </pivotArea>
    </format>
    <format dxfId="231">
      <pivotArea field="0" dataOnly="0" labelOnly="1" grandRow="1" outline="0" axis="axisRow" fieldPosition="0">
        <references count="1">
          <reference field="4294967294" count="1" selected="0">
            <x v="11"/>
          </reference>
        </references>
      </pivotArea>
    </format>
    <format dxfId="230">
      <pivotArea field="0" dataOnly="0" labelOnly="1" grandRow="1" outline="0" axis="axisRow" fieldPosition="0">
        <references count="1">
          <reference field="4294967294" count="1" selected="0">
            <x v="12"/>
          </reference>
        </references>
      </pivotArea>
    </format>
    <format dxfId="229">
      <pivotArea field="0" dataOnly="0" labelOnly="1" grandRow="1" outline="0" axis="axisRow" fieldPosition="0">
        <references count="1">
          <reference field="4294967294" count="1" selected="0">
            <x v="13"/>
          </reference>
        </references>
      </pivotArea>
    </format>
    <format dxfId="228">
      <pivotArea field="0" dataOnly="0" labelOnly="1" grandRow="1" outline="0" axis="axisRow" fieldPosition="0">
        <references count="1">
          <reference field="4294967294" count="1" selected="0">
            <x v="14"/>
          </reference>
        </references>
      </pivotArea>
    </format>
    <format dxfId="227">
      <pivotArea field="0" dataOnly="0" labelOnly="1" grandRow="1" outline="0" axis="axisRow" fieldPosition="0">
        <references count="1">
          <reference field="4294967294" count="1" selected="0">
            <x v="15"/>
          </reference>
        </references>
      </pivotArea>
    </format>
    <format dxfId="226">
      <pivotArea field="0" dataOnly="0" labelOnly="1" grandRow="1" outline="0" axis="axisRow" fieldPosition="0">
        <references count="1">
          <reference field="4294967294" count="1" selected="0">
            <x v="16"/>
          </reference>
        </references>
      </pivotArea>
    </format>
    <format dxfId="225">
      <pivotArea field="0" dataOnly="0" labelOnly="1" grandRow="1" outline="0" axis="axisRow" fieldPosition="0">
        <references count="1">
          <reference field="4294967294" count="1" selected="0">
            <x v="17"/>
          </reference>
        </references>
      </pivotArea>
    </format>
    <format dxfId="224">
      <pivotArea field="0" dataOnly="0" labelOnly="1" grandRow="1" outline="0" axis="axisRow" fieldPosition="0">
        <references count="1">
          <reference field="4294967294" count="1" selected="0">
            <x v="18"/>
          </reference>
        </references>
      </pivotArea>
    </format>
    <format dxfId="223">
      <pivotArea field="0" dataOnly="0" labelOnly="1" grandRow="1" outline="0" axis="axisRow" fieldPosition="0">
        <references count="1">
          <reference field="4294967294" count="1" selected="0">
            <x v="19"/>
          </reference>
        </references>
      </pivotArea>
    </format>
    <format dxfId="222">
      <pivotArea field="0" dataOnly="0" labelOnly="1" grandRow="1" outline="0" axis="axisRow" fieldPosition="0">
        <references count="1">
          <reference field="4294967294" count="1" selected="0">
            <x v="20"/>
          </reference>
        </references>
      </pivotArea>
    </format>
    <format dxfId="221">
      <pivotArea field="0" dataOnly="0" labelOnly="1" grandRow="1" outline="0" axis="axisRow" fieldPosition="0">
        <references count="1">
          <reference field="4294967294" count="1" selected="0">
            <x v="21"/>
          </reference>
        </references>
      </pivotArea>
    </format>
    <format dxfId="220">
      <pivotArea field="0" dataOnly="0" labelOnly="1" grandRow="1" outline="0" axis="axisRow" fieldPosition="0">
        <references count="1">
          <reference field="4294967294" count="1" selected="0">
            <x v="22"/>
          </reference>
        </references>
      </pivotArea>
    </format>
    <format dxfId="219">
      <pivotArea field="0" dataOnly="0" labelOnly="1" grandRow="1" outline="0" axis="axisRow" fieldPosition="0">
        <references count="1">
          <reference field="4294967294" count="1" selected="0">
            <x v="23"/>
          </reference>
        </references>
      </pivotArea>
    </format>
    <format dxfId="218">
      <pivotArea field="0" dataOnly="0" labelOnly="1" grandRow="1" outline="0" axis="axisRow" fieldPosition="0">
        <references count="1">
          <reference field="4294967294" count="1" selected="0">
            <x v="24"/>
          </reference>
        </references>
      </pivotArea>
    </format>
    <format dxfId="217">
      <pivotArea field="0" dataOnly="0" labelOnly="1" grandRow="1" outline="0" axis="axisRow" fieldPosition="0">
        <references count="1">
          <reference field="4294967294" count="1" selected="0">
            <x v="25"/>
          </reference>
        </references>
      </pivotArea>
    </format>
    <format dxfId="216">
      <pivotArea field="0" dataOnly="0" labelOnly="1" grandRow="1" outline="0" axis="axisRow" fieldPosition="0">
        <references count="1">
          <reference field="4294967294" count="1" selected="0">
            <x v="26"/>
          </reference>
        </references>
      </pivotArea>
    </format>
    <format dxfId="215">
      <pivotArea field="0" dataOnly="0" labelOnly="1" grandRow="1" outline="0" axis="axisRow" fieldPosition="0">
        <references count="1">
          <reference field="4294967294" count="1" selected="0">
            <x v="27"/>
          </reference>
        </references>
      </pivotArea>
    </format>
    <format dxfId="214">
      <pivotArea field="0" dataOnly="0" labelOnly="1" grandRow="1" outline="0" axis="axisRow" fieldPosition="0">
        <references count="1">
          <reference field="4294967294" count="1" selected="0">
            <x v="28"/>
          </reference>
        </references>
      </pivotArea>
    </format>
    <format dxfId="213">
      <pivotArea field="0" dataOnly="0" labelOnly="1" grandRow="1" outline="0" axis="axisRow" fieldPosition="0">
        <references count="1">
          <reference field="4294967294" count="1" selected="0">
            <x v="29"/>
          </reference>
        </references>
      </pivotArea>
    </format>
    <format dxfId="212">
      <pivotArea field="0" dataOnly="0" labelOnly="1" grandRow="1" outline="0" axis="axisRow" fieldPosition="0">
        <references count="1">
          <reference field="4294967294" count="1" selected="0">
            <x v="30"/>
          </reference>
        </references>
      </pivotArea>
    </format>
    <format dxfId="211">
      <pivotArea field="0" dataOnly="0" labelOnly="1" grandRow="1" outline="0" axis="axisRow" fieldPosition="0">
        <references count="1">
          <reference field="4294967294" count="1" selected="0">
            <x v="31"/>
          </reference>
        </references>
      </pivotArea>
    </format>
    <format dxfId="210">
      <pivotArea field="0" dataOnly="0" labelOnly="1" grandRow="1" outline="0" axis="axisRow" fieldPosition="0">
        <references count="1">
          <reference field="4294967294" count="1" selected="0">
            <x v="32"/>
          </reference>
        </references>
      </pivotArea>
    </format>
    <format dxfId="209">
      <pivotArea field="0" dataOnly="0" labelOnly="1" grandRow="1" outline="0" axis="axisRow" fieldPosition="0">
        <references count="1">
          <reference field="4294967294" count="1" selected="0">
            <x v="33"/>
          </reference>
        </references>
      </pivotArea>
    </format>
    <format dxfId="208">
      <pivotArea field="0" dataOnly="0" labelOnly="1" grandRow="1" outline="0" axis="axisRow" fieldPosition="0">
        <references count="1">
          <reference field="4294967294" count="1" selected="0">
            <x v="34"/>
          </reference>
        </references>
      </pivotArea>
    </format>
    <format dxfId="207">
      <pivotArea field="0" dataOnly="0" labelOnly="1" grandRow="1" outline="0" axis="axisRow" fieldPosition="0">
        <references count="1">
          <reference field="4294967294" count="1" selected="0">
            <x v="35"/>
          </reference>
        </references>
      </pivotArea>
    </format>
    <format dxfId="206">
      <pivotArea field="0" dataOnly="0" labelOnly="1" grandRow="1" outline="0" axis="axisRow" fieldPosition="0">
        <references count="1">
          <reference field="4294967294" count="1" selected="0">
            <x v="0"/>
          </reference>
        </references>
      </pivotArea>
    </format>
    <format dxfId="205">
      <pivotArea field="0" dataOnly="0" labelOnly="1" grandRow="1" outline="0" axis="axisRow" fieldPosition="0">
        <references count="1">
          <reference field="4294967294" count="1" selected="0">
            <x v="1"/>
          </reference>
        </references>
      </pivotArea>
    </format>
    <format dxfId="204">
      <pivotArea field="0" dataOnly="0" labelOnly="1" grandRow="1" outline="0" axis="axisRow" fieldPosition="0">
        <references count="1">
          <reference field="4294967294" count="1" selected="0">
            <x v="2"/>
          </reference>
        </references>
      </pivotArea>
    </format>
    <format dxfId="203">
      <pivotArea field="0" dataOnly="0" labelOnly="1" grandRow="1" outline="0" axis="axisRow" fieldPosition="0">
        <references count="1">
          <reference field="4294967294" count="1" selected="0">
            <x v="3"/>
          </reference>
        </references>
      </pivotArea>
    </format>
    <format dxfId="202">
      <pivotArea field="0" dataOnly="0" labelOnly="1" grandRow="1" outline="0" axis="axisRow" fieldPosition="0">
        <references count="1">
          <reference field="4294967294" count="1" selected="0">
            <x v="4"/>
          </reference>
        </references>
      </pivotArea>
    </format>
    <format dxfId="201">
      <pivotArea field="0" dataOnly="0" labelOnly="1" grandRow="1" outline="0" axis="axisRow" fieldPosition="0">
        <references count="1">
          <reference field="4294967294" count="1" selected="0">
            <x v="5"/>
          </reference>
        </references>
      </pivotArea>
    </format>
    <format dxfId="200">
      <pivotArea field="0" dataOnly="0" labelOnly="1" grandRow="1" outline="0" axis="axisRow" fieldPosition="0">
        <references count="1">
          <reference field="4294967294" count="1" selected="0">
            <x v="6"/>
          </reference>
        </references>
      </pivotArea>
    </format>
    <format dxfId="199">
      <pivotArea field="0" dataOnly="0" labelOnly="1" grandRow="1" outline="0" axis="axisRow" fieldPosition="0">
        <references count="1">
          <reference field="4294967294" count="1" selected="0">
            <x v="7"/>
          </reference>
        </references>
      </pivotArea>
    </format>
    <format dxfId="198">
      <pivotArea field="0" dataOnly="0" labelOnly="1" grandRow="1" outline="0" axis="axisRow" fieldPosition="0">
        <references count="1">
          <reference field="4294967294" count="1" selected="0">
            <x v="8"/>
          </reference>
        </references>
      </pivotArea>
    </format>
    <format dxfId="197">
      <pivotArea field="0" dataOnly="0" labelOnly="1" grandRow="1" outline="0" axis="axisRow" fieldPosition="0">
        <references count="1">
          <reference field="4294967294" count="1" selected="0">
            <x v="9"/>
          </reference>
        </references>
      </pivotArea>
    </format>
    <format dxfId="196">
      <pivotArea field="0" dataOnly="0" labelOnly="1" grandRow="1" outline="0" axis="axisRow" fieldPosition="0">
        <references count="1">
          <reference field="4294967294" count="1" selected="0">
            <x v="10"/>
          </reference>
        </references>
      </pivotArea>
    </format>
    <format dxfId="195">
      <pivotArea field="0" dataOnly="0" labelOnly="1" grandRow="1" outline="0" axis="axisRow" fieldPosition="0">
        <references count="1">
          <reference field="4294967294" count="1" selected="0">
            <x v="11"/>
          </reference>
        </references>
      </pivotArea>
    </format>
    <format dxfId="194">
      <pivotArea field="0" dataOnly="0" labelOnly="1" grandRow="1" outline="0" axis="axisRow" fieldPosition="0">
        <references count="1">
          <reference field="4294967294" count="1" selected="0">
            <x v="12"/>
          </reference>
        </references>
      </pivotArea>
    </format>
    <format dxfId="193">
      <pivotArea field="0" dataOnly="0" labelOnly="1" grandRow="1" outline="0" axis="axisRow" fieldPosition="0">
        <references count="1">
          <reference field="4294967294" count="1" selected="0">
            <x v="13"/>
          </reference>
        </references>
      </pivotArea>
    </format>
    <format dxfId="192">
      <pivotArea field="0" dataOnly="0" labelOnly="1" grandRow="1" outline="0" axis="axisRow" fieldPosition="0">
        <references count="1">
          <reference field="4294967294" count="1" selected="0">
            <x v="14"/>
          </reference>
        </references>
      </pivotArea>
    </format>
    <format dxfId="191">
      <pivotArea field="0" dataOnly="0" labelOnly="1" grandRow="1" outline="0" axis="axisRow" fieldPosition="0">
        <references count="1">
          <reference field="4294967294" count="1" selected="0">
            <x v="15"/>
          </reference>
        </references>
      </pivotArea>
    </format>
    <format dxfId="190">
      <pivotArea field="0" dataOnly="0" labelOnly="1" grandRow="1" outline="0" axis="axisRow" fieldPosition="0">
        <references count="1">
          <reference field="4294967294" count="1" selected="0">
            <x v="16"/>
          </reference>
        </references>
      </pivotArea>
    </format>
    <format dxfId="189">
      <pivotArea field="0" dataOnly="0" labelOnly="1" grandRow="1" outline="0" axis="axisRow" fieldPosition="0">
        <references count="1">
          <reference field="4294967294" count="1" selected="0">
            <x v="17"/>
          </reference>
        </references>
      </pivotArea>
    </format>
    <format dxfId="188">
      <pivotArea field="0" dataOnly="0" labelOnly="1" grandRow="1" outline="0" axis="axisRow" fieldPosition="0">
        <references count="1">
          <reference field="4294967294" count="1" selected="0">
            <x v="18"/>
          </reference>
        </references>
      </pivotArea>
    </format>
    <format dxfId="187">
      <pivotArea field="0" dataOnly="0" labelOnly="1" grandRow="1" outline="0" axis="axisRow" fieldPosition="0">
        <references count="1">
          <reference field="4294967294" count="1" selected="0">
            <x v="19"/>
          </reference>
        </references>
      </pivotArea>
    </format>
    <format dxfId="186">
      <pivotArea field="0" dataOnly="0" labelOnly="1" grandRow="1" outline="0" axis="axisRow" fieldPosition="0">
        <references count="1">
          <reference field="4294967294" count="1" selected="0">
            <x v="20"/>
          </reference>
        </references>
      </pivotArea>
    </format>
    <format dxfId="185">
      <pivotArea field="0" dataOnly="0" labelOnly="1" grandRow="1" outline="0" axis="axisRow" fieldPosition="0">
        <references count="1">
          <reference field="4294967294" count="1" selected="0">
            <x v="21"/>
          </reference>
        </references>
      </pivotArea>
    </format>
    <format dxfId="184">
      <pivotArea field="0" dataOnly="0" labelOnly="1" grandRow="1" outline="0" axis="axisRow" fieldPosition="0">
        <references count="1">
          <reference field="4294967294" count="1" selected="0">
            <x v="22"/>
          </reference>
        </references>
      </pivotArea>
    </format>
    <format dxfId="183">
      <pivotArea field="0" dataOnly="0" labelOnly="1" grandRow="1" outline="0" axis="axisRow" fieldPosition="0">
        <references count="1">
          <reference field="4294967294" count="1" selected="0">
            <x v="23"/>
          </reference>
        </references>
      </pivotArea>
    </format>
    <format dxfId="182">
      <pivotArea field="0" dataOnly="0" labelOnly="1" grandRow="1" outline="0" axis="axisRow" fieldPosition="0">
        <references count="1">
          <reference field="4294967294" count="1" selected="0">
            <x v="24"/>
          </reference>
        </references>
      </pivotArea>
    </format>
    <format dxfId="181">
      <pivotArea field="0" dataOnly="0" labelOnly="1" grandRow="1" outline="0" axis="axisRow" fieldPosition="0">
        <references count="1">
          <reference field="4294967294" count="1" selected="0">
            <x v="25"/>
          </reference>
        </references>
      </pivotArea>
    </format>
    <format dxfId="180">
      <pivotArea field="0" dataOnly="0" labelOnly="1" grandRow="1" outline="0" axis="axisRow" fieldPosition="0">
        <references count="1">
          <reference field="4294967294" count="1" selected="0">
            <x v="26"/>
          </reference>
        </references>
      </pivotArea>
    </format>
    <format dxfId="179">
      <pivotArea field="0" dataOnly="0" labelOnly="1" grandRow="1" outline="0" axis="axisRow" fieldPosition="0">
        <references count="1">
          <reference field="4294967294" count="1" selected="0">
            <x v="27"/>
          </reference>
        </references>
      </pivotArea>
    </format>
    <format dxfId="178">
      <pivotArea field="0" dataOnly="0" labelOnly="1" grandRow="1" outline="0" axis="axisRow" fieldPosition="0">
        <references count="1">
          <reference field="4294967294" count="1" selected="0">
            <x v="28"/>
          </reference>
        </references>
      </pivotArea>
    </format>
    <format dxfId="177">
      <pivotArea field="0" dataOnly="0" labelOnly="1" grandRow="1" outline="0" axis="axisRow" fieldPosition="0">
        <references count="1">
          <reference field="4294967294" count="1" selected="0">
            <x v="29"/>
          </reference>
        </references>
      </pivotArea>
    </format>
    <format dxfId="176">
      <pivotArea field="0" dataOnly="0" labelOnly="1" grandRow="1" outline="0" axis="axisRow" fieldPosition="0">
        <references count="1">
          <reference field="4294967294" count="1" selected="0">
            <x v="30"/>
          </reference>
        </references>
      </pivotArea>
    </format>
    <format dxfId="175">
      <pivotArea field="0" dataOnly="0" labelOnly="1" grandRow="1" outline="0" axis="axisRow" fieldPosition="0">
        <references count="1">
          <reference field="4294967294" count="1" selected="0">
            <x v="31"/>
          </reference>
        </references>
      </pivotArea>
    </format>
    <format dxfId="174">
      <pivotArea field="0" dataOnly="0" labelOnly="1" grandRow="1" outline="0" axis="axisRow" fieldPosition="0">
        <references count="1">
          <reference field="4294967294" count="1" selected="0">
            <x v="32"/>
          </reference>
        </references>
      </pivotArea>
    </format>
    <format dxfId="173">
      <pivotArea field="0" dataOnly="0" labelOnly="1" grandRow="1" outline="0" axis="axisRow" fieldPosition="0">
        <references count="1">
          <reference field="4294967294" count="1" selected="0">
            <x v="33"/>
          </reference>
        </references>
      </pivotArea>
    </format>
    <format dxfId="172">
      <pivotArea field="0" dataOnly="0" labelOnly="1" grandRow="1" outline="0" axis="axisRow" fieldPosition="0">
        <references count="1">
          <reference field="4294967294" count="1" selected="0">
            <x v="34"/>
          </reference>
        </references>
      </pivotArea>
    </format>
    <format dxfId="171">
      <pivotArea field="0" dataOnly="0" labelOnly="1" grandRow="1" outline="0" axis="axisRow" fieldPosition="0">
        <references count="1">
          <reference field="4294967294" count="1" selected="0">
            <x v="35"/>
          </reference>
        </references>
      </pivotArea>
    </format>
    <format dxfId="170">
      <pivotArea field="0" dataOnly="0" labelOnly="1" grandRow="1" outline="0" axis="axisRow" fieldPosition="0">
        <references count="1">
          <reference field="4294967294" count="1" selected="0">
            <x v="35"/>
          </reference>
        </references>
      </pivotArea>
    </format>
    <format dxfId="16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16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16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16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16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16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16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16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16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16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15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15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15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15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15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15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153">
      <pivotArea dataOnly="0" labelOnly="1" outline="0" fieldPosition="0">
        <references count="1">
          <reference field="70" count="0"/>
        </references>
      </pivotArea>
    </format>
    <format dxfId="152">
      <pivotArea dataOnly="0" labelOnly="1" outline="0" fieldPosition="0">
        <references count="1">
          <reference field="70" count="0" defaultSubtotal="1"/>
        </references>
      </pivotArea>
    </format>
    <format dxfId="151">
      <pivotArea dataOnly="0" labelOnly="1" grandCol="1" outline="0" fieldPosition="0"/>
    </format>
    <format dxfId="150">
      <pivotArea dataOnly="0" labelOnly="1" outline="0" fieldPosition="0">
        <references count="2">
          <reference field="4" count="7">
            <x v="0"/>
            <x v="1"/>
            <x v="2"/>
            <x v="3"/>
            <x v="4"/>
            <x v="5"/>
            <x v="6"/>
          </reference>
          <reference field="70" count="1" selected="0">
            <x v="0"/>
          </reference>
        </references>
      </pivotArea>
    </format>
    <format dxfId="149">
      <pivotArea dataOnly="0" labelOnly="1" outline="0" fieldPosition="0">
        <references count="2">
          <reference field="4" count="4">
            <x v="7"/>
            <x v="8"/>
            <x v="9"/>
            <x v="10"/>
          </reference>
          <reference field="70" count="1" selected="0">
            <x v="1"/>
          </reference>
        </references>
      </pivotArea>
    </format>
    <format dxfId="148">
      <pivotArea dataOnly="0" labelOnly="1" outline="0" fieldPosition="0">
        <references count="2">
          <reference field="4" count="2">
            <x v="11"/>
            <x v="12"/>
          </reference>
          <reference field="70" count="1" selected="0">
            <x v="2"/>
          </reference>
        </references>
      </pivotArea>
    </format>
    <format dxfId="147">
      <pivotArea dataOnly="0" labelOnly="1" outline="0" fieldPosition="0">
        <references count="2">
          <reference field="4" count="1">
            <x v="16"/>
          </reference>
          <reference field="70" count="1" selected="0">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1C4D136-97C4-472D-ABBB-3AEB533A2456}" name="PivotTable2" cacheId="18" dataOnRows="1" applyNumberFormats="0" applyBorderFormats="0" applyFontFormats="0" applyPatternFormats="0" applyAlignmentFormats="0" applyWidthHeightFormats="1" dataCaption="Data" updatedVersion="6" asteriskTotals="1" showMemberPropertyTips="0" useAutoFormatting="1" rowGrandTotals="0" colGrandTotals="0" itemPrintTitles="1" createdVersion="1" indent="0" compact="0" compactData="0" gridDropZones="1">
  <location ref="A3:V133"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7">
        <item x="0"/>
        <item x="1"/>
        <item x="2"/>
        <item x="3"/>
        <item x="4"/>
        <item x="5"/>
        <item x="11"/>
        <item m="1" x="16"/>
        <item x="14"/>
        <item m="1" x="15"/>
        <item x="13"/>
        <item x="6"/>
        <item x="7"/>
        <item x="8"/>
        <item x="9"/>
        <item x="10"/>
        <item x="12"/>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8">
        <item n="Four-Year" x="3"/>
        <item x="2"/>
        <item x="1"/>
        <item n="Two-Year" x="4"/>
        <item n="Techncial" x="5"/>
        <item x="0"/>
        <item x="6"/>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5"/>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rowItems>
  <colFields count="2">
    <field x="70"/>
    <field x="4"/>
  </colFields>
  <colItems count="20">
    <i>
      <x/>
      <x/>
    </i>
    <i r="1">
      <x v="1"/>
    </i>
    <i r="1">
      <x v="2"/>
    </i>
    <i r="1">
      <x v="3"/>
    </i>
    <i r="1">
      <x v="4"/>
    </i>
    <i r="1">
      <x v="5"/>
    </i>
    <i r="1">
      <x v="6"/>
    </i>
    <i t="default">
      <x/>
    </i>
    <i>
      <x v="2"/>
      <x v="8"/>
    </i>
    <i t="default">
      <x v="2"/>
    </i>
    <i>
      <x v="3"/>
      <x v="10"/>
    </i>
    <i r="1">
      <x v="11"/>
    </i>
    <i r="1">
      <x v="12"/>
    </i>
    <i r="1">
      <x v="13"/>
    </i>
    <i t="default">
      <x v="3"/>
    </i>
    <i>
      <x v="4"/>
      <x v="14"/>
    </i>
    <i r="1">
      <x v="15"/>
    </i>
    <i t="default">
      <x v="4"/>
    </i>
    <i>
      <x v="6"/>
      <x v="16"/>
    </i>
    <i t="default">
      <x v="6"/>
    </i>
  </colItems>
  <dataFields count="8">
    <dataField name="Sum of OLD-Tot UG SCH Calc" fld="5" baseField="0" baseItem="0"/>
    <dataField name="Sum of NEW-Tot UG SCH Calc" fld="6" baseField="0" baseItem="0"/>
    <dataField name="Sum of Old UG E-Learning" fld="63" baseField="0" baseItem="0"/>
    <dataField name="Sum of New UG E-Learning" fld="65" baseField="0" baseItem="0"/>
    <dataField name="Sum of Old-Tot G SCH Calc" fld="19" baseField="0" baseItem="0"/>
    <dataField name="Sum of New-Tot G SCH Calc" fld="20" baseField="0" baseItem="0"/>
    <dataField name="Sum of Old G E-Learning" fld="64" baseField="0" baseItem="0"/>
    <dataField name="Sum of New G E-Learning" fld="66" baseField="0" baseItem="0"/>
  </dataFields>
  <formats count="147">
    <format dxfId="146">
      <pivotArea field="4" type="button" dataOnly="0" labelOnly="1" outline="0" axis="axisCol" fieldPosition="1"/>
    </format>
    <format dxfId="145">
      <pivotArea type="topRight" dataOnly="0" labelOnly="1" outline="0" fieldPosition="0"/>
    </format>
    <format dxfId="144">
      <pivotArea dataOnly="0" labelOnly="1" grandCol="1" outline="0" fieldPosition="0"/>
    </format>
    <format dxfId="143">
      <pivotArea dataOnly="0" labelOnly="1" outline="0" offset="IV256" fieldPosition="0">
        <references count="1">
          <reference field="0" count="1">
            <x v="3"/>
          </reference>
        </references>
      </pivotArea>
    </format>
    <format dxfId="142">
      <pivotArea dataOnly="0" labelOnly="1" outline="0" offset="IV256" fieldPosition="0">
        <references count="1">
          <reference field="0" count="1">
            <x v="4"/>
          </reference>
        </references>
      </pivotArea>
    </format>
    <format dxfId="141">
      <pivotArea dataOnly="0" labelOnly="1" outline="0" offset="IV256" fieldPosition="0">
        <references count="1">
          <reference field="0" count="1">
            <x v="5"/>
          </reference>
        </references>
      </pivotArea>
    </format>
    <format dxfId="140">
      <pivotArea dataOnly="0" labelOnly="1" outline="0" offset="IV256" fieldPosition="0">
        <references count="1">
          <reference field="0" count="1">
            <x v="7"/>
          </reference>
        </references>
      </pivotArea>
    </format>
    <format dxfId="139">
      <pivotArea dataOnly="0" labelOnly="1" outline="0" offset="IV256" fieldPosition="0">
        <references count="1">
          <reference field="0" count="1">
            <x v="8"/>
          </reference>
        </references>
      </pivotArea>
    </format>
    <format dxfId="138">
      <pivotArea dataOnly="0" labelOnly="1" outline="0" offset="IV256" fieldPosition="0">
        <references count="1">
          <reference field="0" count="1">
            <x v="9"/>
          </reference>
        </references>
      </pivotArea>
    </format>
    <format dxfId="137">
      <pivotArea dataOnly="0" labelOnly="1" outline="0" offset="IV256" fieldPosition="0">
        <references count="1">
          <reference field="0" count="1">
            <x v="10"/>
          </reference>
        </references>
      </pivotArea>
    </format>
    <format dxfId="136">
      <pivotArea dataOnly="0" labelOnly="1" outline="0" offset="IV256" fieldPosition="0">
        <references count="1">
          <reference field="0" count="1">
            <x v="11"/>
          </reference>
        </references>
      </pivotArea>
    </format>
    <format dxfId="135">
      <pivotArea dataOnly="0" labelOnly="1" outline="0" offset="IV256" fieldPosition="0">
        <references count="1">
          <reference field="0" count="1">
            <x v="12"/>
          </reference>
        </references>
      </pivotArea>
    </format>
    <format dxfId="134">
      <pivotArea dataOnly="0" labelOnly="1" outline="0" offset="IV256" fieldPosition="0">
        <references count="1">
          <reference field="0" count="1">
            <x v="13"/>
          </reference>
        </references>
      </pivotArea>
    </format>
    <format dxfId="133">
      <pivotArea type="origin" dataOnly="0" labelOnly="1" outline="0" offset="A2:B2" fieldPosition="0"/>
    </format>
    <format dxfId="132">
      <pivotArea dataOnly="0" labelOnly="1" outline="0" fieldPosition="0">
        <references count="1">
          <reference field="0" count="0"/>
        </references>
      </pivotArea>
    </format>
    <format dxfId="131">
      <pivotArea dataOnly="0" labelOnly="1" outline="0" offset="IV1" fieldPosition="0">
        <references count="1">
          <reference field="0" count="1">
            <x v="0"/>
          </reference>
        </references>
      </pivotArea>
    </format>
    <format dxfId="130">
      <pivotArea type="origin" dataOnly="0" labelOnly="1" outline="0" fieldPosition="0"/>
    </format>
    <format dxfId="129">
      <pivotArea field="0" type="button" dataOnly="0" labelOnly="1" outline="0" axis="axisRow" fieldPosition="0"/>
    </format>
    <format dxfId="128">
      <pivotArea dataOnly="0" labelOnly="1" outline="0" offset="IV5:IV6" fieldPosition="0">
        <references count="1">
          <reference field="0" count="1">
            <x v="1"/>
          </reference>
        </references>
      </pivotArea>
    </format>
    <format dxfId="127">
      <pivotArea dataOnly="0" labelOnly="1" outline="0" offset="IV7:IV8" fieldPosition="0">
        <references count="1">
          <reference field="0" count="1">
            <x v="1"/>
          </reference>
        </references>
      </pivotArea>
    </format>
    <format dxfId="126">
      <pivotArea dataOnly="0" labelOnly="1" outline="0" offset="IV9:IV10" fieldPosition="0">
        <references count="1">
          <reference field="0" count="1">
            <x v="1"/>
          </reference>
        </references>
      </pivotArea>
    </format>
    <format dxfId="125">
      <pivotArea dataOnly="0" labelOnly="1" outline="0" offset="IV11:IV12" fieldPosition="0">
        <references count="1">
          <reference field="0" count="1">
            <x v="1"/>
          </reference>
        </references>
      </pivotArea>
    </format>
    <format dxfId="124">
      <pivotArea dataOnly="0" labelOnly="1" outline="0" offset="IV256" fieldPosition="0">
        <references count="1">
          <reference field="0" count="1">
            <x v="0"/>
          </reference>
        </references>
      </pivotArea>
    </format>
    <format dxfId="123">
      <pivotArea dataOnly="0" labelOnly="1" grandCol="1" outline="0" offset="IV256" fieldPosition="0"/>
    </format>
    <format dxfId="122">
      <pivotArea dataOnly="0" labelOnly="1" outline="0" offset="IV256" fieldPosition="0">
        <references count="1">
          <reference field="0" count="1">
            <x v="1"/>
          </reference>
        </references>
      </pivotArea>
    </format>
    <format dxfId="121">
      <pivotArea dataOnly="0" labelOnly="1" outline="0" offset="IV1" fieldPosition="0">
        <references count="1">
          <reference field="0" count="1">
            <x v="0"/>
          </reference>
        </references>
      </pivotArea>
    </format>
    <format dxfId="120">
      <pivotArea dataOnly="0" labelOnly="1" outline="0" offset="IV1" fieldPosition="0">
        <references count="1">
          <reference field="0" count="1">
            <x v="1"/>
          </reference>
        </references>
      </pivotArea>
    </format>
    <format dxfId="119">
      <pivotArea dataOnly="0" labelOnly="1" outline="0" offset="IV1" fieldPosition="0">
        <references count="1">
          <reference field="0" count="1">
            <x v="3"/>
          </reference>
        </references>
      </pivotArea>
    </format>
    <format dxfId="118">
      <pivotArea dataOnly="0" labelOnly="1" outline="0" offset="IV1" fieldPosition="0">
        <references count="1">
          <reference field="0" count="1">
            <x v="4"/>
          </reference>
        </references>
      </pivotArea>
    </format>
    <format dxfId="117">
      <pivotArea dataOnly="0" labelOnly="1" outline="0" offset="IV256" fieldPosition="0">
        <references count="1">
          <reference field="0" count="1">
            <x v="15"/>
          </reference>
        </references>
      </pivotArea>
    </format>
    <format dxfId="116">
      <pivotArea outline="0" fieldPosition="0">
        <references count="1">
          <reference field="0" count="1" selected="0">
            <x v="0"/>
          </reference>
        </references>
      </pivotArea>
    </format>
    <format dxfId="115">
      <pivotArea dataOnly="0" labelOnly="1" outline="0" fieldPosition="0">
        <references count="1">
          <reference field="0" count="1">
            <x v="0"/>
          </reference>
        </references>
      </pivotArea>
    </format>
    <format dxfId="114">
      <pivotArea dataOnly="0" labelOnly="1" outline="0" fieldPosition="0">
        <references count="2">
          <reference field="4294967294" count="0"/>
          <reference field="0" count="1" selected="0">
            <x v="0"/>
          </reference>
        </references>
      </pivotArea>
    </format>
    <format dxfId="113">
      <pivotArea type="all" dataOnly="0" outline="0" fieldPosition="0"/>
    </format>
    <format dxfId="112">
      <pivotArea outline="0" fieldPosition="0"/>
    </format>
    <format dxfId="111">
      <pivotArea outline="0" fieldPosition="0">
        <references count="2">
          <reference field="4294967294" count="1" selected="0">
            <x v="0"/>
          </reference>
          <reference field="0" count="1" selected="0">
            <x v="4"/>
          </reference>
        </references>
      </pivotArea>
    </format>
    <format dxfId="110">
      <pivotArea outline="0" fieldPosition="0">
        <references count="2">
          <reference field="4294967294" count="1" selected="0">
            <x v="0"/>
          </reference>
          <reference field="0" count="1" selected="0">
            <x v="5"/>
          </reference>
        </references>
      </pivotArea>
    </format>
    <format dxfId="109">
      <pivotArea outline="0" fieldPosition="0">
        <references count="2">
          <reference field="4294967294" count="1" selected="0">
            <x v="0"/>
          </reference>
          <reference field="0" count="1" selected="0">
            <x v="7"/>
          </reference>
        </references>
      </pivotArea>
    </format>
    <format dxfId="108">
      <pivotArea outline="0" fieldPosition="0">
        <references count="2">
          <reference field="4294967294" count="1" selected="0">
            <x v="1"/>
          </reference>
          <reference field="0" count="1" selected="0">
            <x v="4"/>
          </reference>
        </references>
      </pivotArea>
    </format>
    <format dxfId="107">
      <pivotArea outline="0" fieldPosition="0">
        <references count="2">
          <reference field="4294967294" count="1" selected="0">
            <x v="1"/>
          </reference>
          <reference field="0" count="1" selected="0">
            <x v="5"/>
          </reference>
        </references>
      </pivotArea>
    </format>
    <format dxfId="106">
      <pivotArea outline="0" fieldPosition="0">
        <references count="2">
          <reference field="4294967294" count="1" selected="0">
            <x v="2"/>
          </reference>
          <reference field="0" count="1" selected="0">
            <x v="4"/>
          </reference>
        </references>
      </pivotArea>
    </format>
    <format dxfId="105">
      <pivotArea outline="0" fieldPosition="0">
        <references count="2">
          <reference field="4294967294" count="1" selected="0">
            <x v="2"/>
          </reference>
          <reference field="0" count="1" selected="0">
            <x v="5"/>
          </reference>
        </references>
      </pivotArea>
    </format>
    <format dxfId="104">
      <pivotArea outline="0" fieldPosition="0">
        <references count="2">
          <reference field="4294967294" count="1" selected="0">
            <x v="2"/>
          </reference>
          <reference field="0" count="1" selected="0">
            <x v="7"/>
          </reference>
        </references>
      </pivotArea>
    </format>
    <format dxfId="103">
      <pivotArea outline="0" fieldPosition="0">
        <references count="2">
          <reference field="4294967294" count="1" selected="0">
            <x v="3"/>
          </reference>
          <reference field="0" count="1" selected="0">
            <x v="5"/>
          </reference>
        </references>
      </pivotArea>
    </format>
    <format dxfId="102">
      <pivotArea outline="0" fieldPosition="0">
        <references count="2">
          <reference field="4294967294" count="1" selected="0">
            <x v="3"/>
          </reference>
          <reference field="0" count="1" selected="0">
            <x v="4"/>
          </reference>
        </references>
      </pivotArea>
    </format>
    <format dxfId="101">
      <pivotArea outline="0" fieldPosition="0">
        <references count="1">
          <reference field="0" count="1" selected="0">
            <x v="0"/>
          </reference>
        </references>
      </pivotArea>
    </format>
    <format dxfId="100">
      <pivotArea dataOnly="0" labelOnly="1" outline="0" fieldPosition="0">
        <references count="1">
          <reference field="0" count="1">
            <x v="0"/>
          </reference>
        </references>
      </pivotArea>
    </format>
    <format dxfId="99">
      <pivotArea dataOnly="0" labelOnly="1" outline="0" fieldPosition="0">
        <references count="2">
          <reference field="4294967294" count="0"/>
          <reference field="0" count="1" selected="0">
            <x v="0"/>
          </reference>
        </references>
      </pivotArea>
    </format>
    <format dxfId="98">
      <pivotArea outline="0" fieldPosition="0">
        <references count="1">
          <reference field="0" count="1" selected="0">
            <x v="15"/>
          </reference>
        </references>
      </pivotArea>
    </format>
    <format dxfId="97">
      <pivotArea dataOnly="0" labelOnly="1" outline="0" fieldPosition="0">
        <references count="1">
          <reference field="0" count="1">
            <x v="15"/>
          </reference>
        </references>
      </pivotArea>
    </format>
    <format dxfId="96">
      <pivotArea dataOnly="0" labelOnly="1" outline="0" fieldPosition="0">
        <references count="2">
          <reference field="4294967294" count="0"/>
          <reference field="0" count="1" selected="0">
            <x v="15"/>
          </reference>
        </references>
      </pivotArea>
    </format>
    <format dxfId="95">
      <pivotArea outline="0" fieldPosition="0">
        <references count="1">
          <reference field="0" count="1" selected="0">
            <x v="12"/>
          </reference>
        </references>
      </pivotArea>
    </format>
    <format dxfId="94">
      <pivotArea dataOnly="0" labelOnly="1" outline="0" fieldPosition="0">
        <references count="1">
          <reference field="0" count="1">
            <x v="12"/>
          </reference>
        </references>
      </pivotArea>
    </format>
    <format dxfId="93">
      <pivotArea dataOnly="0" labelOnly="1" outline="0" fieldPosition="0">
        <references count="2">
          <reference field="4294967294" count="0"/>
          <reference field="0" count="1" selected="0">
            <x v="12"/>
          </reference>
        </references>
      </pivotArea>
    </format>
    <format dxfId="92">
      <pivotArea outline="0" fieldPosition="0"/>
    </format>
    <format dxfId="91">
      <pivotArea field="-2" type="button" dataOnly="0" labelOnly="1" outline="0" axis="axisRow" fieldPosition="1"/>
    </format>
    <format dxfId="90">
      <pivotArea field="4" type="button" dataOnly="0" labelOnly="1" outline="0" axis="axisCol" fieldPosition="1"/>
    </format>
    <format dxfId="89">
      <pivotArea type="topRight" dataOnly="0" labelOnly="1" outline="0" fieldPosition="0"/>
    </format>
    <format dxfId="88">
      <pivotArea dataOnly="0" labelOnly="1" outline="0" fieldPosition="0">
        <references count="2">
          <reference field="4294967294" count="8">
            <x v="0"/>
            <x v="1"/>
            <x v="2"/>
            <x v="3"/>
            <x v="4"/>
            <x v="5"/>
            <x v="6"/>
            <x v="7"/>
          </reference>
          <reference field="0" count="1" selected="0">
            <x v="0"/>
          </reference>
        </references>
      </pivotArea>
    </format>
    <format dxfId="87">
      <pivotArea dataOnly="0" labelOnly="1" outline="0" fieldPosition="0">
        <references count="2">
          <reference field="4294967294" count="8">
            <x v="0"/>
            <x v="1"/>
            <x v="2"/>
            <x v="3"/>
            <x v="4"/>
            <x v="5"/>
            <x v="6"/>
            <x v="7"/>
          </reference>
          <reference field="0" count="1" selected="0">
            <x v="1"/>
          </reference>
        </references>
      </pivotArea>
    </format>
    <format dxfId="86">
      <pivotArea dataOnly="0" labelOnly="1" outline="0" fieldPosition="0">
        <references count="2">
          <reference field="4294967294" count="8">
            <x v="0"/>
            <x v="1"/>
            <x v="2"/>
            <x v="3"/>
            <x v="4"/>
            <x v="5"/>
            <x v="6"/>
            <x v="7"/>
          </reference>
          <reference field="0" count="1" selected="0">
            <x v="3"/>
          </reference>
        </references>
      </pivotArea>
    </format>
    <format dxfId="85">
      <pivotArea dataOnly="0" labelOnly="1" outline="0" fieldPosition="0">
        <references count="2">
          <reference field="4294967294" count="8">
            <x v="0"/>
            <x v="1"/>
            <x v="2"/>
            <x v="3"/>
            <x v="4"/>
            <x v="5"/>
            <x v="6"/>
            <x v="7"/>
          </reference>
          <reference field="0" count="1" selected="0">
            <x v="4"/>
          </reference>
        </references>
      </pivotArea>
    </format>
    <format dxfId="84">
      <pivotArea dataOnly="0" labelOnly="1" outline="0" fieldPosition="0">
        <references count="2">
          <reference field="4294967294" count="8">
            <x v="0"/>
            <x v="1"/>
            <x v="2"/>
            <x v="3"/>
            <x v="4"/>
            <x v="5"/>
            <x v="6"/>
            <x v="7"/>
          </reference>
          <reference field="0" count="1" selected="0">
            <x v="5"/>
          </reference>
        </references>
      </pivotArea>
    </format>
    <format dxfId="83">
      <pivotArea dataOnly="0" labelOnly="1" outline="0" fieldPosition="0">
        <references count="2">
          <reference field="4294967294" count="8">
            <x v="0"/>
            <x v="1"/>
            <x v="2"/>
            <x v="3"/>
            <x v="4"/>
            <x v="5"/>
            <x v="6"/>
            <x v="7"/>
          </reference>
          <reference field="0" count="1" selected="0">
            <x v="7"/>
          </reference>
        </references>
      </pivotArea>
    </format>
    <format dxfId="82">
      <pivotArea dataOnly="0" labelOnly="1" outline="0" fieldPosition="0">
        <references count="2">
          <reference field="4294967294" count="8">
            <x v="0"/>
            <x v="1"/>
            <x v="2"/>
            <x v="3"/>
            <x v="4"/>
            <x v="5"/>
            <x v="6"/>
            <x v="7"/>
          </reference>
          <reference field="0" count="1" selected="0">
            <x v="8"/>
          </reference>
        </references>
      </pivotArea>
    </format>
    <format dxfId="81">
      <pivotArea dataOnly="0" labelOnly="1" outline="0" fieldPosition="0">
        <references count="2">
          <reference field="4294967294" count="8">
            <x v="0"/>
            <x v="1"/>
            <x v="2"/>
            <x v="3"/>
            <x v="4"/>
            <x v="5"/>
            <x v="6"/>
            <x v="7"/>
          </reference>
          <reference field="0" count="1" selected="0">
            <x v="9"/>
          </reference>
        </references>
      </pivotArea>
    </format>
    <format dxfId="80">
      <pivotArea dataOnly="0" labelOnly="1" outline="0" fieldPosition="0">
        <references count="2">
          <reference field="4294967294" count="8">
            <x v="0"/>
            <x v="1"/>
            <x v="2"/>
            <x v="3"/>
            <x v="4"/>
            <x v="5"/>
            <x v="6"/>
            <x v="7"/>
          </reference>
          <reference field="0" count="1" selected="0">
            <x v="10"/>
          </reference>
        </references>
      </pivotArea>
    </format>
    <format dxfId="79">
      <pivotArea dataOnly="0" labelOnly="1" outline="0" fieldPosition="0">
        <references count="2">
          <reference field="4294967294" count="8">
            <x v="0"/>
            <x v="1"/>
            <x v="2"/>
            <x v="3"/>
            <x v="4"/>
            <x v="5"/>
            <x v="6"/>
            <x v="7"/>
          </reference>
          <reference field="0" count="1" selected="0">
            <x v="11"/>
          </reference>
        </references>
      </pivotArea>
    </format>
    <format dxfId="78">
      <pivotArea dataOnly="0" labelOnly="1" outline="0" fieldPosition="0">
        <references count="2">
          <reference field="4294967294" count="8">
            <x v="0"/>
            <x v="1"/>
            <x v="2"/>
            <x v="3"/>
            <x v="4"/>
            <x v="5"/>
            <x v="6"/>
            <x v="7"/>
          </reference>
          <reference field="0" count="1" selected="0">
            <x v="12"/>
          </reference>
        </references>
      </pivotArea>
    </format>
    <format dxfId="77">
      <pivotArea dataOnly="0" labelOnly="1" outline="0" fieldPosition="0">
        <references count="2">
          <reference field="4294967294" count="8">
            <x v="0"/>
            <x v="1"/>
            <x v="2"/>
            <x v="3"/>
            <x v="4"/>
            <x v="5"/>
            <x v="6"/>
            <x v="7"/>
          </reference>
          <reference field="0" count="1" selected="0">
            <x v="13"/>
          </reference>
        </references>
      </pivotArea>
    </format>
    <format dxfId="76">
      <pivotArea dataOnly="0" labelOnly="1" outline="0" fieldPosition="0">
        <references count="2">
          <reference field="4294967294" count="8">
            <x v="0"/>
            <x v="1"/>
            <x v="2"/>
            <x v="3"/>
            <x v="4"/>
            <x v="5"/>
            <x v="6"/>
            <x v="7"/>
          </reference>
          <reference field="0" count="1" selected="0">
            <x v="15"/>
          </reference>
        </references>
      </pivotArea>
    </format>
    <format dxfId="75">
      <pivotArea outline="0" fieldPosition="0"/>
    </format>
    <format dxfId="74">
      <pivotArea field="-2" type="button" dataOnly="0" labelOnly="1" outline="0" axis="axisRow" fieldPosition="1"/>
    </format>
    <format dxfId="73">
      <pivotArea field="4" type="button" dataOnly="0" labelOnly="1" outline="0" axis="axisCol" fieldPosition="1"/>
    </format>
    <format dxfId="72">
      <pivotArea type="topRight" dataOnly="0" labelOnly="1" outline="0" fieldPosition="0"/>
    </format>
    <format dxfId="71">
      <pivotArea dataOnly="0" labelOnly="1" outline="0" fieldPosition="0">
        <references count="2">
          <reference field="4294967294" count="8">
            <x v="0"/>
            <x v="1"/>
            <x v="2"/>
            <x v="3"/>
            <x v="4"/>
            <x v="5"/>
            <x v="6"/>
            <x v="7"/>
          </reference>
          <reference field="0" count="1" selected="0">
            <x v="0"/>
          </reference>
        </references>
      </pivotArea>
    </format>
    <format dxfId="70">
      <pivotArea dataOnly="0" labelOnly="1" outline="0" fieldPosition="0">
        <references count="2">
          <reference field="4294967294" count="8">
            <x v="0"/>
            <x v="1"/>
            <x v="2"/>
            <x v="3"/>
            <x v="4"/>
            <x v="5"/>
            <x v="6"/>
            <x v="7"/>
          </reference>
          <reference field="0" count="1" selected="0">
            <x v="1"/>
          </reference>
        </references>
      </pivotArea>
    </format>
    <format dxfId="69">
      <pivotArea dataOnly="0" labelOnly="1" outline="0" fieldPosition="0">
        <references count="2">
          <reference field="4294967294" count="8">
            <x v="0"/>
            <x v="1"/>
            <x v="2"/>
            <x v="3"/>
            <x v="4"/>
            <x v="5"/>
            <x v="6"/>
            <x v="7"/>
          </reference>
          <reference field="0" count="1" selected="0">
            <x v="3"/>
          </reference>
        </references>
      </pivotArea>
    </format>
    <format dxfId="68">
      <pivotArea dataOnly="0" labelOnly="1" outline="0" fieldPosition="0">
        <references count="2">
          <reference field="4294967294" count="8">
            <x v="0"/>
            <x v="1"/>
            <x v="2"/>
            <x v="3"/>
            <x v="4"/>
            <x v="5"/>
            <x v="6"/>
            <x v="7"/>
          </reference>
          <reference field="0" count="1" selected="0">
            <x v="4"/>
          </reference>
        </references>
      </pivotArea>
    </format>
    <format dxfId="67">
      <pivotArea dataOnly="0" labelOnly="1" outline="0" fieldPosition="0">
        <references count="2">
          <reference field="4294967294" count="8">
            <x v="0"/>
            <x v="1"/>
            <x v="2"/>
            <x v="3"/>
            <x v="4"/>
            <x v="5"/>
            <x v="6"/>
            <x v="7"/>
          </reference>
          <reference field="0" count="1" selected="0">
            <x v="5"/>
          </reference>
        </references>
      </pivotArea>
    </format>
    <format dxfId="66">
      <pivotArea dataOnly="0" labelOnly="1" outline="0" fieldPosition="0">
        <references count="2">
          <reference field="4294967294" count="8">
            <x v="0"/>
            <x v="1"/>
            <x v="2"/>
            <x v="3"/>
            <x v="4"/>
            <x v="5"/>
            <x v="6"/>
            <x v="7"/>
          </reference>
          <reference field="0" count="1" selected="0">
            <x v="7"/>
          </reference>
        </references>
      </pivotArea>
    </format>
    <format dxfId="65">
      <pivotArea dataOnly="0" labelOnly="1" outline="0" fieldPosition="0">
        <references count="2">
          <reference field="4294967294" count="8">
            <x v="0"/>
            <x v="1"/>
            <x v="2"/>
            <x v="3"/>
            <x v="4"/>
            <x v="5"/>
            <x v="6"/>
            <x v="7"/>
          </reference>
          <reference field="0" count="1" selected="0">
            <x v="8"/>
          </reference>
        </references>
      </pivotArea>
    </format>
    <format dxfId="64">
      <pivotArea dataOnly="0" labelOnly="1" outline="0" fieldPosition="0">
        <references count="2">
          <reference field="4294967294" count="8">
            <x v="0"/>
            <x v="1"/>
            <x v="2"/>
            <x v="3"/>
            <x v="4"/>
            <x v="5"/>
            <x v="6"/>
            <x v="7"/>
          </reference>
          <reference field="0" count="1" selected="0">
            <x v="9"/>
          </reference>
        </references>
      </pivotArea>
    </format>
    <format dxfId="63">
      <pivotArea dataOnly="0" labelOnly="1" outline="0" fieldPosition="0">
        <references count="2">
          <reference field="4294967294" count="8">
            <x v="0"/>
            <x v="1"/>
            <x v="2"/>
            <x v="3"/>
            <x v="4"/>
            <x v="5"/>
            <x v="6"/>
            <x v="7"/>
          </reference>
          <reference field="0" count="1" selected="0">
            <x v="10"/>
          </reference>
        </references>
      </pivotArea>
    </format>
    <format dxfId="62">
      <pivotArea dataOnly="0" labelOnly="1" outline="0" fieldPosition="0">
        <references count="2">
          <reference field="4294967294" count="8">
            <x v="0"/>
            <x v="1"/>
            <x v="2"/>
            <x v="3"/>
            <x v="4"/>
            <x v="5"/>
            <x v="6"/>
            <x v="7"/>
          </reference>
          <reference field="0" count="1" selected="0">
            <x v="11"/>
          </reference>
        </references>
      </pivotArea>
    </format>
    <format dxfId="61">
      <pivotArea dataOnly="0" labelOnly="1" outline="0" fieldPosition="0">
        <references count="2">
          <reference field="4294967294" count="8">
            <x v="0"/>
            <x v="1"/>
            <x v="2"/>
            <x v="3"/>
            <x v="4"/>
            <x v="5"/>
            <x v="6"/>
            <x v="7"/>
          </reference>
          <reference field="0" count="1" selected="0">
            <x v="12"/>
          </reference>
        </references>
      </pivotArea>
    </format>
    <format dxfId="60">
      <pivotArea dataOnly="0" labelOnly="1" outline="0" fieldPosition="0">
        <references count="2">
          <reference field="4294967294" count="8">
            <x v="0"/>
            <x v="1"/>
            <x v="2"/>
            <x v="3"/>
            <x v="4"/>
            <x v="5"/>
            <x v="6"/>
            <x v="7"/>
          </reference>
          <reference field="0" count="1" selected="0">
            <x v="13"/>
          </reference>
        </references>
      </pivotArea>
    </format>
    <format dxfId="59">
      <pivotArea dataOnly="0" labelOnly="1" outline="0" fieldPosition="0">
        <references count="2">
          <reference field="4294967294" count="8">
            <x v="0"/>
            <x v="1"/>
            <x v="2"/>
            <x v="3"/>
            <x v="4"/>
            <x v="5"/>
            <x v="6"/>
            <x v="7"/>
          </reference>
          <reference field="0" count="1" selected="0">
            <x v="15"/>
          </reference>
        </references>
      </pivotArea>
    </format>
    <format dxfId="58">
      <pivotArea type="all" dataOnly="0" outline="0" fieldPosition="0"/>
    </format>
    <format dxfId="57">
      <pivotArea type="all" dataOnly="0" outline="0" fieldPosition="0"/>
    </format>
    <format dxfId="56">
      <pivotArea outline="0" fieldPosition="0"/>
    </format>
    <format dxfId="55">
      <pivotArea dataOnly="0" labelOnly="1" outline="0" fieldPosition="0">
        <references count="1">
          <reference field="0" count="0"/>
        </references>
      </pivotArea>
    </format>
    <format dxfId="54">
      <pivotArea dataOnly="0" labelOnly="1" outline="0" fieldPosition="0">
        <references count="2">
          <reference field="4294967294" count="8">
            <x v="0"/>
            <x v="1"/>
            <x v="2"/>
            <x v="3"/>
            <x v="4"/>
            <x v="5"/>
            <x v="6"/>
            <x v="7"/>
          </reference>
          <reference field="0" count="1" selected="0">
            <x v="0"/>
          </reference>
        </references>
      </pivotArea>
    </format>
    <format dxfId="53">
      <pivotArea dataOnly="0" labelOnly="1" outline="0" fieldPosition="0">
        <references count="2">
          <reference field="4294967294" count="8">
            <x v="0"/>
            <x v="1"/>
            <x v="2"/>
            <x v="3"/>
            <x v="4"/>
            <x v="5"/>
            <x v="6"/>
            <x v="7"/>
          </reference>
          <reference field="0" count="1" selected="0">
            <x v="1"/>
          </reference>
        </references>
      </pivotArea>
    </format>
    <format dxfId="52">
      <pivotArea dataOnly="0" labelOnly="1" outline="0" fieldPosition="0">
        <references count="2">
          <reference field="4294967294" count="8">
            <x v="0"/>
            <x v="1"/>
            <x v="2"/>
            <x v="3"/>
            <x v="4"/>
            <x v="5"/>
            <x v="6"/>
            <x v="7"/>
          </reference>
          <reference field="0" count="1" selected="0">
            <x v="2"/>
          </reference>
        </references>
      </pivotArea>
    </format>
    <format dxfId="51">
      <pivotArea dataOnly="0" labelOnly="1" outline="0" fieldPosition="0">
        <references count="2">
          <reference field="4294967294" count="8">
            <x v="0"/>
            <x v="1"/>
            <x v="2"/>
            <x v="3"/>
            <x v="4"/>
            <x v="5"/>
            <x v="6"/>
            <x v="7"/>
          </reference>
          <reference field="0" count="1" selected="0">
            <x v="3"/>
          </reference>
        </references>
      </pivotArea>
    </format>
    <format dxfId="50">
      <pivotArea dataOnly="0" labelOnly="1" outline="0" fieldPosition="0">
        <references count="2">
          <reference field="4294967294" count="8">
            <x v="0"/>
            <x v="1"/>
            <x v="2"/>
            <x v="3"/>
            <x v="4"/>
            <x v="5"/>
            <x v="6"/>
            <x v="7"/>
          </reference>
          <reference field="0" count="1" selected="0">
            <x v="4"/>
          </reference>
        </references>
      </pivotArea>
    </format>
    <format dxfId="49">
      <pivotArea dataOnly="0" labelOnly="1" outline="0" fieldPosition="0">
        <references count="2">
          <reference field="4294967294" count="8">
            <x v="0"/>
            <x v="1"/>
            <x v="2"/>
            <x v="3"/>
            <x v="4"/>
            <x v="5"/>
            <x v="6"/>
            <x v="7"/>
          </reference>
          <reference field="0" count="1" selected="0">
            <x v="5"/>
          </reference>
        </references>
      </pivotArea>
    </format>
    <format dxfId="48">
      <pivotArea dataOnly="0" labelOnly="1" outline="0" fieldPosition="0">
        <references count="2">
          <reference field="4294967294" count="8">
            <x v="0"/>
            <x v="1"/>
            <x v="2"/>
            <x v="3"/>
            <x v="4"/>
            <x v="5"/>
            <x v="6"/>
            <x v="7"/>
          </reference>
          <reference field="0" count="1" selected="0">
            <x v="6"/>
          </reference>
        </references>
      </pivotArea>
    </format>
    <format dxfId="47">
      <pivotArea dataOnly="0" labelOnly="1" outline="0" fieldPosition="0">
        <references count="2">
          <reference field="4294967294" count="8">
            <x v="0"/>
            <x v="1"/>
            <x v="2"/>
            <x v="3"/>
            <x v="4"/>
            <x v="5"/>
            <x v="6"/>
            <x v="7"/>
          </reference>
          <reference field="0" count="1" selected="0">
            <x v="7"/>
          </reference>
        </references>
      </pivotArea>
    </format>
    <format dxfId="46">
      <pivotArea dataOnly="0" labelOnly="1" outline="0" fieldPosition="0">
        <references count="2">
          <reference field="4294967294" count="8">
            <x v="0"/>
            <x v="1"/>
            <x v="2"/>
            <x v="3"/>
            <x v="4"/>
            <x v="5"/>
            <x v="6"/>
            <x v="7"/>
          </reference>
          <reference field="0" count="1" selected="0">
            <x v="8"/>
          </reference>
        </references>
      </pivotArea>
    </format>
    <format dxfId="45">
      <pivotArea dataOnly="0" labelOnly="1" outline="0" fieldPosition="0">
        <references count="2">
          <reference field="4294967294" count="8">
            <x v="0"/>
            <x v="1"/>
            <x v="2"/>
            <x v="3"/>
            <x v="4"/>
            <x v="5"/>
            <x v="6"/>
            <x v="7"/>
          </reference>
          <reference field="0" count="1" selected="0">
            <x v="9"/>
          </reference>
        </references>
      </pivotArea>
    </format>
    <format dxfId="44">
      <pivotArea dataOnly="0" labelOnly="1" outline="0" fieldPosition="0">
        <references count="2">
          <reference field="4294967294" count="8">
            <x v="0"/>
            <x v="1"/>
            <x v="2"/>
            <x v="3"/>
            <x v="4"/>
            <x v="5"/>
            <x v="6"/>
            <x v="7"/>
          </reference>
          <reference field="0" count="1" selected="0">
            <x v="10"/>
          </reference>
        </references>
      </pivotArea>
    </format>
    <format dxfId="43">
      <pivotArea dataOnly="0" labelOnly="1" outline="0" fieldPosition="0">
        <references count="2">
          <reference field="4294967294" count="8">
            <x v="0"/>
            <x v="1"/>
            <x v="2"/>
            <x v="3"/>
            <x v="4"/>
            <x v="5"/>
            <x v="6"/>
            <x v="7"/>
          </reference>
          <reference field="0" count="1" selected="0">
            <x v="11"/>
          </reference>
        </references>
      </pivotArea>
    </format>
    <format dxfId="42">
      <pivotArea dataOnly="0" labelOnly="1" outline="0" fieldPosition="0">
        <references count="2">
          <reference field="4294967294" count="8">
            <x v="0"/>
            <x v="1"/>
            <x v="2"/>
            <x v="3"/>
            <x v="4"/>
            <x v="5"/>
            <x v="6"/>
            <x v="7"/>
          </reference>
          <reference field="0" count="1" selected="0">
            <x v="12"/>
          </reference>
        </references>
      </pivotArea>
    </format>
    <format dxfId="41">
      <pivotArea dataOnly="0" labelOnly="1" outline="0" fieldPosition="0">
        <references count="2">
          <reference field="4294967294" count="8">
            <x v="0"/>
            <x v="1"/>
            <x v="2"/>
            <x v="3"/>
            <x v="4"/>
            <x v="5"/>
            <x v="6"/>
            <x v="7"/>
          </reference>
          <reference field="0" count="1" selected="0">
            <x v="13"/>
          </reference>
        </references>
      </pivotArea>
    </format>
    <format dxfId="40">
      <pivotArea dataOnly="0" labelOnly="1" outline="0" fieldPosition="0">
        <references count="2">
          <reference field="4294967294" count="8">
            <x v="0"/>
            <x v="1"/>
            <x v="2"/>
            <x v="3"/>
            <x v="4"/>
            <x v="5"/>
            <x v="6"/>
            <x v="7"/>
          </reference>
          <reference field="0" count="1" selected="0">
            <x v="14"/>
          </reference>
        </references>
      </pivotArea>
    </format>
    <format dxfId="39">
      <pivotArea dataOnly="0" labelOnly="1" outline="0" fieldPosition="0">
        <references count="2">
          <reference field="4294967294" count="8">
            <x v="0"/>
            <x v="1"/>
            <x v="2"/>
            <x v="3"/>
            <x v="4"/>
            <x v="5"/>
            <x v="6"/>
            <x v="7"/>
          </reference>
          <reference field="0" count="1" selected="0">
            <x v="15"/>
          </reference>
        </references>
      </pivotArea>
    </format>
    <format dxfId="38">
      <pivotArea outline="0" fieldPosition="0"/>
    </format>
    <format dxfId="37">
      <pivotArea dataOnly="0" labelOnly="1" outline="0" fieldPosition="0">
        <references count="1">
          <reference field="0" count="0"/>
        </references>
      </pivotArea>
    </format>
    <format dxfId="36">
      <pivotArea dataOnly="0" labelOnly="1" outline="0" fieldPosition="0">
        <references count="2">
          <reference field="4294967294" count="8">
            <x v="0"/>
            <x v="1"/>
            <x v="2"/>
            <x v="3"/>
            <x v="4"/>
            <x v="5"/>
            <x v="6"/>
            <x v="7"/>
          </reference>
          <reference field="0" count="1" selected="0">
            <x v="0"/>
          </reference>
        </references>
      </pivotArea>
    </format>
    <format dxfId="35">
      <pivotArea dataOnly="0" labelOnly="1" outline="0" fieldPosition="0">
        <references count="2">
          <reference field="4294967294" count="8">
            <x v="0"/>
            <x v="1"/>
            <x v="2"/>
            <x v="3"/>
            <x v="4"/>
            <x v="5"/>
            <x v="6"/>
            <x v="7"/>
          </reference>
          <reference field="0" count="1" selected="0">
            <x v="1"/>
          </reference>
        </references>
      </pivotArea>
    </format>
    <format dxfId="34">
      <pivotArea dataOnly="0" labelOnly="1" outline="0" fieldPosition="0">
        <references count="2">
          <reference field="4294967294" count="8">
            <x v="0"/>
            <x v="1"/>
            <x v="2"/>
            <x v="3"/>
            <x v="4"/>
            <x v="5"/>
            <x v="6"/>
            <x v="7"/>
          </reference>
          <reference field="0" count="1" selected="0">
            <x v="2"/>
          </reference>
        </references>
      </pivotArea>
    </format>
    <format dxfId="33">
      <pivotArea dataOnly="0" labelOnly="1" outline="0" fieldPosition="0">
        <references count="2">
          <reference field="4294967294" count="8">
            <x v="0"/>
            <x v="1"/>
            <x v="2"/>
            <x v="3"/>
            <x v="4"/>
            <x v="5"/>
            <x v="6"/>
            <x v="7"/>
          </reference>
          <reference field="0" count="1" selected="0">
            <x v="3"/>
          </reference>
        </references>
      </pivotArea>
    </format>
    <format dxfId="32">
      <pivotArea dataOnly="0" labelOnly="1" outline="0" fieldPosition="0">
        <references count="2">
          <reference field="4294967294" count="8">
            <x v="0"/>
            <x v="1"/>
            <x v="2"/>
            <x v="3"/>
            <x v="4"/>
            <x v="5"/>
            <x v="6"/>
            <x v="7"/>
          </reference>
          <reference field="0" count="1" selected="0">
            <x v="4"/>
          </reference>
        </references>
      </pivotArea>
    </format>
    <format dxfId="31">
      <pivotArea dataOnly="0" labelOnly="1" outline="0" fieldPosition="0">
        <references count="2">
          <reference field="4294967294" count="8">
            <x v="0"/>
            <x v="1"/>
            <x v="2"/>
            <x v="3"/>
            <x v="4"/>
            <x v="5"/>
            <x v="6"/>
            <x v="7"/>
          </reference>
          <reference field="0" count="1" selected="0">
            <x v="5"/>
          </reference>
        </references>
      </pivotArea>
    </format>
    <format dxfId="30">
      <pivotArea dataOnly="0" labelOnly="1" outline="0" fieldPosition="0">
        <references count="2">
          <reference field="4294967294" count="8">
            <x v="0"/>
            <x v="1"/>
            <x v="2"/>
            <x v="3"/>
            <x v="4"/>
            <x v="5"/>
            <x v="6"/>
            <x v="7"/>
          </reference>
          <reference field="0" count="1" selected="0">
            <x v="6"/>
          </reference>
        </references>
      </pivotArea>
    </format>
    <format dxfId="29">
      <pivotArea dataOnly="0" labelOnly="1" outline="0" fieldPosition="0">
        <references count="2">
          <reference field="4294967294" count="8">
            <x v="0"/>
            <x v="1"/>
            <x v="2"/>
            <x v="3"/>
            <x v="4"/>
            <x v="5"/>
            <x v="6"/>
            <x v="7"/>
          </reference>
          <reference field="0" count="1" selected="0">
            <x v="7"/>
          </reference>
        </references>
      </pivotArea>
    </format>
    <format dxfId="28">
      <pivotArea dataOnly="0" labelOnly="1" outline="0" fieldPosition="0">
        <references count="2">
          <reference field="4294967294" count="8">
            <x v="0"/>
            <x v="1"/>
            <x v="2"/>
            <x v="3"/>
            <x v="4"/>
            <x v="5"/>
            <x v="6"/>
            <x v="7"/>
          </reference>
          <reference field="0" count="1" selected="0">
            <x v="8"/>
          </reference>
        </references>
      </pivotArea>
    </format>
    <format dxfId="27">
      <pivotArea dataOnly="0" labelOnly="1" outline="0" fieldPosition="0">
        <references count="2">
          <reference field="4294967294" count="8">
            <x v="0"/>
            <x v="1"/>
            <x v="2"/>
            <x v="3"/>
            <x v="4"/>
            <x v="5"/>
            <x v="6"/>
            <x v="7"/>
          </reference>
          <reference field="0" count="1" selected="0">
            <x v="9"/>
          </reference>
        </references>
      </pivotArea>
    </format>
    <format dxfId="26">
      <pivotArea dataOnly="0" labelOnly="1" outline="0" fieldPosition="0">
        <references count="2">
          <reference field="4294967294" count="8">
            <x v="0"/>
            <x v="1"/>
            <x v="2"/>
            <x v="3"/>
            <x v="4"/>
            <x v="5"/>
            <x v="6"/>
            <x v="7"/>
          </reference>
          <reference field="0" count="1" selected="0">
            <x v="10"/>
          </reference>
        </references>
      </pivotArea>
    </format>
    <format dxfId="25">
      <pivotArea dataOnly="0" labelOnly="1" outline="0" fieldPosition="0">
        <references count="2">
          <reference field="4294967294" count="8">
            <x v="0"/>
            <x v="1"/>
            <x v="2"/>
            <x v="3"/>
            <x v="4"/>
            <x v="5"/>
            <x v="6"/>
            <x v="7"/>
          </reference>
          <reference field="0" count="1" selected="0">
            <x v="11"/>
          </reference>
        </references>
      </pivotArea>
    </format>
    <format dxfId="24">
      <pivotArea dataOnly="0" labelOnly="1" outline="0" fieldPosition="0">
        <references count="2">
          <reference field="4294967294" count="8">
            <x v="0"/>
            <x v="1"/>
            <x v="2"/>
            <x v="3"/>
            <x v="4"/>
            <x v="5"/>
            <x v="6"/>
            <x v="7"/>
          </reference>
          <reference field="0" count="1" selected="0">
            <x v="12"/>
          </reference>
        </references>
      </pivotArea>
    </format>
    <format dxfId="23">
      <pivotArea dataOnly="0" labelOnly="1" outline="0" fieldPosition="0">
        <references count="2">
          <reference field="4294967294" count="8">
            <x v="0"/>
            <x v="1"/>
            <x v="2"/>
            <x v="3"/>
            <x v="4"/>
            <x v="5"/>
            <x v="6"/>
            <x v="7"/>
          </reference>
          <reference field="0" count="1" selected="0">
            <x v="13"/>
          </reference>
        </references>
      </pivotArea>
    </format>
    <format dxfId="22">
      <pivotArea dataOnly="0" labelOnly="1" outline="0" fieldPosition="0">
        <references count="2">
          <reference field="4294967294" count="8">
            <x v="0"/>
            <x v="1"/>
            <x v="2"/>
            <x v="3"/>
            <x v="4"/>
            <x v="5"/>
            <x v="6"/>
            <x v="7"/>
          </reference>
          <reference field="0" count="1" selected="0">
            <x v="14"/>
          </reference>
        </references>
      </pivotArea>
    </format>
    <format dxfId="21">
      <pivotArea dataOnly="0" labelOnly="1" outline="0" fieldPosition="0">
        <references count="2">
          <reference field="4294967294" count="8">
            <x v="0"/>
            <x v="1"/>
            <x v="2"/>
            <x v="3"/>
            <x v="4"/>
            <x v="5"/>
            <x v="6"/>
            <x v="7"/>
          </reference>
          <reference field="0" count="1" selected="0">
            <x v="15"/>
          </reference>
        </references>
      </pivotArea>
    </format>
    <format dxfId="20">
      <pivotArea field="0" type="button" dataOnly="0" labelOnly="1" outline="0" axis="axisRow" fieldPosition="0"/>
    </format>
    <format dxfId="19">
      <pivotArea field="-2" type="button" dataOnly="0" labelOnly="1" outline="0" axis="axisRow" fieldPosition="1"/>
    </format>
    <format dxfId="18">
      <pivotArea outline="0" fieldPosition="0">
        <references count="2">
          <reference field="4294967294" count="1" selected="0">
            <x v="7"/>
          </reference>
          <reference field="0" count="1" selected="0">
            <x v="0"/>
          </reference>
        </references>
      </pivotArea>
    </format>
    <format dxfId="17">
      <pivotArea dataOnly="0" labelOnly="1" outline="0" offset="IV256" fieldPosition="0">
        <references count="1">
          <reference field="0" count="1">
            <x v="0"/>
          </reference>
        </references>
      </pivotArea>
    </format>
    <format dxfId="16">
      <pivotArea dataOnly="0" labelOnly="1" outline="0" fieldPosition="0">
        <references count="2">
          <reference field="4294967294" count="1">
            <x v="7"/>
          </reference>
          <reference field="0" count="1" selected="0">
            <x v="0"/>
          </reference>
        </references>
      </pivotArea>
    </format>
    <format dxfId="15">
      <pivotArea outline="0" fieldPosition="0">
        <references count="2">
          <reference field="4294967294" count="1" selected="0">
            <x v="1"/>
          </reference>
          <reference field="0" count="1" selected="0">
            <x v="0"/>
          </reference>
        </references>
      </pivotArea>
    </format>
    <format dxfId="14">
      <pivotArea dataOnly="0" labelOnly="1" outline="0" fieldPosition="0">
        <references count="2">
          <reference field="4294967294" count="1">
            <x v="1"/>
          </reference>
          <reference field="0" count="1" selected="0">
            <x v="0"/>
          </reference>
        </references>
      </pivotArea>
    </format>
    <format dxfId="13">
      <pivotArea outline="0" fieldPosition="0">
        <references count="2">
          <reference field="4294967294" count="1" selected="0">
            <x v="3"/>
          </reference>
          <reference field="0" count="1" selected="0">
            <x v="0"/>
          </reference>
        </references>
      </pivotArea>
    </format>
    <format dxfId="12">
      <pivotArea dataOnly="0" labelOnly="1" outline="0" fieldPosition="0">
        <references count="2">
          <reference field="4294967294" count="1">
            <x v="3"/>
          </reference>
          <reference field="0" count="1" selected="0">
            <x v="0"/>
          </reference>
        </references>
      </pivotArea>
    </format>
    <format dxfId="11">
      <pivotArea outline="0" fieldPosition="0">
        <references count="2">
          <reference field="4294967294" count="1" selected="0">
            <x v="5"/>
          </reference>
          <reference field="0" count="1" selected="0">
            <x v="0"/>
          </reference>
        </references>
      </pivotArea>
    </format>
    <format dxfId="10">
      <pivotArea dataOnly="0" labelOnly="1" outline="0" fieldPosition="0">
        <references count="2">
          <reference field="4294967294" count="1">
            <x v="5"/>
          </reference>
          <reference field="0" count="1" selected="0">
            <x v="0"/>
          </reference>
        </references>
      </pivotArea>
    </format>
    <format dxfId="9">
      <pivotArea type="topRight" dataOnly="0" labelOnly="1" outline="0" offset="F1" fieldPosition="0"/>
    </format>
    <format dxfId="8">
      <pivotArea outline="0" fieldPosition="0">
        <references count="2">
          <reference field="4" count="1" selected="0">
            <x v="13"/>
          </reference>
          <reference field="70" count="1" selected="0">
            <x v="3"/>
          </reference>
        </references>
      </pivotArea>
    </format>
    <format dxfId="7">
      <pivotArea type="topRight" dataOnly="0" labelOnly="1" outline="0" offset="K1" fieldPosition="0"/>
    </format>
    <format dxfId="6">
      <pivotArea dataOnly="0" labelOnly="1" outline="0" offset="IV256" fieldPosition="0">
        <references count="1">
          <reference field="70" count="1">
            <x v="3"/>
          </reference>
        </references>
      </pivotArea>
    </format>
    <format dxfId="5">
      <pivotArea dataOnly="0" labelOnly="1" outline="0" fieldPosition="0">
        <references count="2">
          <reference field="4" count="1">
            <x v="13"/>
          </reference>
          <reference field="70" count="1" selected="0">
            <x v="3"/>
          </reference>
        </references>
      </pivotArea>
    </format>
    <format dxfId="4">
      <pivotArea outline="0" fieldPosition="0">
        <references count="2">
          <reference field="4" count="1" selected="0">
            <x v="15"/>
          </reference>
          <reference field="70" count="1" selected="0">
            <x v="4"/>
          </reference>
        </references>
      </pivotArea>
    </format>
    <format dxfId="3">
      <pivotArea type="topRight" dataOnly="0" labelOnly="1" outline="0" offset="N1" fieldPosition="0"/>
    </format>
    <format dxfId="2">
      <pivotArea dataOnly="0" labelOnly="1" outline="0" offset="IV256" fieldPosition="0">
        <references count="1">
          <reference field="70" count="1">
            <x v="4"/>
          </reference>
        </references>
      </pivotArea>
    </format>
    <format dxfId="1">
      <pivotArea dataOnly="0" labelOnly="1" outline="0" fieldPosition="0">
        <references count="2">
          <reference field="4" count="1">
            <x v="15"/>
          </reference>
          <reference field="70" count="1" selected="0">
            <x v="4"/>
          </reference>
        </references>
      </pivotArea>
    </format>
    <format dxfId="0">
      <pivotArea outline="0" fieldPosition="0">
        <references count="4">
          <reference field="4294967294" count="1" selected="0">
            <x v="2"/>
          </reference>
          <reference field="0" count="1" selected="0">
            <x v="11"/>
          </reference>
          <reference field="4" count="1" selected="0">
            <x v="2"/>
          </reference>
          <reference field="70"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ype13gr4_2" connectionId="22" xr16:uid="{D7CB0326-D2C7-4ECF-8433-BDD021E72B78}"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Type13ug4_3" connectionId="38" xr16:uid="{FCB76502-4540-4913-A638-44C757A912AC}"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Type13gr4_3" connectionId="23" xr16:uid="{8679ABE7-9AFD-46E9-BBF4-FE158014C37A}"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Type13ug2_3" connectionId="32" xr16:uid="{D58635D6-B4F9-4169-BBDA-B6385C748EDB}"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Type13gr5_4" connectionId="26" xr16:uid="{3FE10E2B-10C1-48BC-8246-6FA9241A471F}"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Type13gr1_3" connectionId="14" xr16:uid="{8369360A-CCDC-4052-9FBB-6DBFCE2DDA7A}"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Type13ug2_1" connectionId="30" xr16:uid="{00000000-0016-0000-0000-000006000000}"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Type13ug5_1" connectionId="39" xr16:uid="{00000000-0016-0000-0000-000007000000}"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Type13gr5_2" connectionId="24" xr16:uid="{00000000-0016-0000-0000-000009000000}"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Type13ug1_3" connectionId="29" xr16:uid="{67C772EC-C017-495B-9D38-59E14AF08090}"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Type13gr3_2" connectionId="19" xr16:uid="{5F762C00-03FC-4FF7-A8FC-76DDD2D2A10E}"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Type13gr3_3" connectionId="20" xr16:uid="{726A9724-DA8E-4239-8818-4734D157B6BE}"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Type13ug5_2" connectionId="40" xr16:uid="{21D92B78-93E6-4B1D-B995-7310D3BB1588}"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Type13gr1_2" connectionId="13" xr16:uid="{D7AE5399-AFF8-445C-9005-397AEB757B8E}"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Type13ug4_2" connectionId="37" xr16:uid="{255A6CBA-FE78-4D20-A80D-D90C1CC4F1DB}"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Type13gr1_1" connectionId="12" xr16:uid="{00000000-0016-0000-0000-000001000000}"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Type13ug3_1" connectionId="33" xr16:uid="{00000000-0016-0000-0000-000000000000}"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Type13ug3_3" connectionId="35" xr16:uid="{660170DF-EBE0-44DF-9318-D347B0A59E65}"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Type13ug5_3" connectionId="41" xr16:uid="{3E0EA3FF-035B-4CFD-883F-FEF8400E0E93}"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Type13gr5_3" connectionId="25" xr16:uid="{2F3AEC3B-9221-4736-9249-93A5109CC028}"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Type13gr3_1" connectionId="18" xr16:uid="{00000000-0016-0000-0000-000002000000}"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Type13gr2_2" connectionId="16" xr16:uid="{F568B3D1-E7A9-4E4E-8B8B-4516A167D636}"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Type13ug4_1" connectionId="36" xr16:uid="{00000000-0016-0000-0000-000008000000}"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Type13ug3_2" connectionId="34" xr16:uid="{D76295D9-DAA5-4B93-87BC-0AA88A0613C1}"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Type13gr2_3" connectionId="17" xr16:uid="{E471A5E3-ADD5-41AC-828E-0315F919EEBF}"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Type13ug2_2" connectionId="31" xr16:uid="{59AA97FB-5029-4FF3-8F78-51632F0C2943}"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Type13gr4_1" connectionId="21" xr16:uid="{00000000-0016-0000-0000-000005000000}"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Type13ug1_1" connectionId="27" xr16:uid="{00000000-0016-0000-0000-000003000000}"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Type13gr2_1" connectionId="15" xr16:uid="{00000000-0016-0000-0000-000004000000}"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Type13ug1_2" connectionId="28" xr16:uid="{062D269B-97AA-4973-8793-DB3D6F9E345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7.xml"/><Relationship Id="rId13" Type="http://schemas.openxmlformats.org/officeDocument/2006/relationships/queryTable" Target="../queryTables/queryTable12.xml"/><Relationship Id="rId18" Type="http://schemas.openxmlformats.org/officeDocument/2006/relationships/queryTable" Target="../queryTables/queryTable17.xml"/><Relationship Id="rId26" Type="http://schemas.openxmlformats.org/officeDocument/2006/relationships/queryTable" Target="../queryTables/queryTable25.xml"/><Relationship Id="rId3" Type="http://schemas.openxmlformats.org/officeDocument/2006/relationships/queryTable" Target="../queryTables/queryTable2.xml"/><Relationship Id="rId21" Type="http://schemas.openxmlformats.org/officeDocument/2006/relationships/queryTable" Target="../queryTables/queryTable20.xml"/><Relationship Id="rId7" Type="http://schemas.openxmlformats.org/officeDocument/2006/relationships/queryTable" Target="../queryTables/queryTable6.xml"/><Relationship Id="rId12" Type="http://schemas.openxmlformats.org/officeDocument/2006/relationships/queryTable" Target="../queryTables/queryTable11.xml"/><Relationship Id="rId17" Type="http://schemas.openxmlformats.org/officeDocument/2006/relationships/queryTable" Target="../queryTables/queryTable16.xml"/><Relationship Id="rId25" Type="http://schemas.openxmlformats.org/officeDocument/2006/relationships/queryTable" Target="../queryTables/queryTable24.xml"/><Relationship Id="rId2" Type="http://schemas.openxmlformats.org/officeDocument/2006/relationships/queryTable" Target="../queryTables/queryTable1.xml"/><Relationship Id="rId16" Type="http://schemas.openxmlformats.org/officeDocument/2006/relationships/queryTable" Target="../queryTables/queryTable15.xml"/><Relationship Id="rId20" Type="http://schemas.openxmlformats.org/officeDocument/2006/relationships/queryTable" Target="../queryTables/queryTable19.xml"/><Relationship Id="rId29" Type="http://schemas.openxmlformats.org/officeDocument/2006/relationships/queryTable" Target="../queryTables/queryTable28.xml"/><Relationship Id="rId1" Type="http://schemas.openxmlformats.org/officeDocument/2006/relationships/vmlDrawing" Target="../drawings/vmlDrawing4.vml"/><Relationship Id="rId6" Type="http://schemas.openxmlformats.org/officeDocument/2006/relationships/queryTable" Target="../queryTables/queryTable5.xml"/><Relationship Id="rId11" Type="http://schemas.openxmlformats.org/officeDocument/2006/relationships/queryTable" Target="../queryTables/queryTable10.xml"/><Relationship Id="rId24" Type="http://schemas.openxmlformats.org/officeDocument/2006/relationships/queryTable" Target="../queryTables/queryTable23.xml"/><Relationship Id="rId32" Type="http://schemas.openxmlformats.org/officeDocument/2006/relationships/comments" Target="../comments4.xml"/><Relationship Id="rId5" Type="http://schemas.openxmlformats.org/officeDocument/2006/relationships/queryTable" Target="../queryTables/queryTable4.xml"/><Relationship Id="rId15" Type="http://schemas.openxmlformats.org/officeDocument/2006/relationships/queryTable" Target="../queryTables/queryTable14.xml"/><Relationship Id="rId23" Type="http://schemas.openxmlformats.org/officeDocument/2006/relationships/queryTable" Target="../queryTables/queryTable22.xml"/><Relationship Id="rId28" Type="http://schemas.openxmlformats.org/officeDocument/2006/relationships/queryTable" Target="../queryTables/queryTable27.xml"/><Relationship Id="rId10" Type="http://schemas.openxmlformats.org/officeDocument/2006/relationships/queryTable" Target="../queryTables/queryTable9.xml"/><Relationship Id="rId19" Type="http://schemas.openxmlformats.org/officeDocument/2006/relationships/queryTable" Target="../queryTables/queryTable18.xml"/><Relationship Id="rId31" Type="http://schemas.openxmlformats.org/officeDocument/2006/relationships/queryTable" Target="../queryTables/queryTable30.xml"/><Relationship Id="rId4" Type="http://schemas.openxmlformats.org/officeDocument/2006/relationships/queryTable" Target="../queryTables/queryTable3.xml"/><Relationship Id="rId9" Type="http://schemas.openxmlformats.org/officeDocument/2006/relationships/queryTable" Target="../queryTables/queryTable8.xml"/><Relationship Id="rId14" Type="http://schemas.openxmlformats.org/officeDocument/2006/relationships/queryTable" Target="../queryTables/queryTable13.xml"/><Relationship Id="rId22" Type="http://schemas.openxmlformats.org/officeDocument/2006/relationships/queryTable" Target="../queryTables/queryTable21.xml"/><Relationship Id="rId27" Type="http://schemas.openxmlformats.org/officeDocument/2006/relationships/queryTable" Target="../queryTables/queryTable26.xml"/><Relationship Id="rId30" Type="http://schemas.openxmlformats.org/officeDocument/2006/relationships/queryTable" Target="../queryTables/queryTable29.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8C3-9555-4707-B53A-A5F3C171EA40}">
  <sheetPr>
    <tabColor rgb="FFC00000"/>
  </sheetPr>
  <dimension ref="A1:AN116"/>
  <sheetViews>
    <sheetView showZeros="0" view="pageBreakPreview" zoomScaleNormal="100" zoomScaleSheetLayoutView="100" workbookViewId="0">
      <selection activeCell="B4" sqref="B4"/>
    </sheetView>
  </sheetViews>
  <sheetFormatPr defaultColWidth="8.84375" defaultRowHeight="14.5"/>
  <cols>
    <col min="1" max="1" width="9.84375" style="151" customWidth="1"/>
    <col min="2" max="16" width="5.53515625" style="151" customWidth="1"/>
    <col min="17" max="23" width="8.84375" style="151"/>
    <col min="24" max="24" width="10.3046875" style="151" customWidth="1"/>
    <col min="25" max="16384" width="8.84375" style="151"/>
  </cols>
  <sheetData>
    <row r="1" spans="1:33" ht="18">
      <c r="A1" s="482" t="s">
        <v>730</v>
      </c>
      <c r="B1" s="482"/>
      <c r="C1" s="482"/>
      <c r="D1" s="482"/>
      <c r="E1" s="482"/>
      <c r="F1" s="482"/>
      <c r="G1" s="482"/>
      <c r="H1" s="482"/>
      <c r="I1" s="482"/>
      <c r="J1" s="482"/>
      <c r="K1" s="482"/>
      <c r="L1" s="482"/>
      <c r="M1" s="482"/>
      <c r="N1" s="482"/>
      <c r="O1" s="482"/>
      <c r="P1" s="482"/>
    </row>
    <row r="2" spans="1:33" s="231" customFormat="1" ht="13">
      <c r="A2" s="232"/>
      <c r="B2" s="228"/>
      <c r="C2" s="228"/>
      <c r="D2" s="228"/>
      <c r="E2" s="228"/>
      <c r="F2" s="228"/>
      <c r="G2" s="228"/>
      <c r="H2" s="228"/>
      <c r="I2" s="228"/>
      <c r="J2" s="228"/>
      <c r="K2" s="228"/>
      <c r="L2" s="228"/>
      <c r="M2" s="228"/>
      <c r="N2" s="228"/>
      <c r="O2" s="228"/>
      <c r="P2" s="228"/>
    </row>
    <row r="3" spans="1:33" ht="15.5">
      <c r="A3" s="479" t="s">
        <v>822</v>
      </c>
      <c r="B3" s="228"/>
      <c r="C3" s="228"/>
      <c r="D3" s="228"/>
      <c r="E3" s="228"/>
      <c r="F3" s="228"/>
      <c r="G3" s="322"/>
      <c r="H3" s="322"/>
      <c r="I3" s="322"/>
      <c r="J3" s="322"/>
      <c r="K3" s="322"/>
      <c r="L3" s="322"/>
      <c r="M3" s="322"/>
      <c r="N3" s="322"/>
      <c r="O3" s="322"/>
      <c r="P3" s="322"/>
    </row>
    <row r="4" spans="1:33">
      <c r="A4" s="365"/>
      <c r="B4" s="326"/>
      <c r="C4" s="326"/>
      <c r="D4" s="326"/>
      <c r="E4" s="326"/>
      <c r="F4" s="326"/>
      <c r="G4" s="326"/>
      <c r="H4" s="326"/>
      <c r="I4" s="326"/>
      <c r="J4" s="326"/>
      <c r="K4" s="326"/>
      <c r="L4" s="326"/>
    </row>
    <row r="5" spans="1:33" s="332" customFormat="1">
      <c r="A5" s="366"/>
      <c r="B5" s="483" t="s">
        <v>565</v>
      </c>
      <c r="C5" s="483"/>
      <c r="D5" s="483"/>
      <c r="E5" s="483"/>
      <c r="F5" s="483"/>
      <c r="G5" s="483"/>
      <c r="H5" s="484"/>
      <c r="I5" s="485" t="s">
        <v>568</v>
      </c>
      <c r="J5" s="483"/>
      <c r="K5" s="483"/>
      <c r="L5" s="483"/>
      <c r="M5" s="483"/>
      <c r="N5" s="254" t="s">
        <v>584</v>
      </c>
      <c r="O5" s="243"/>
      <c r="P5" s="243"/>
      <c r="R5" s="151"/>
      <c r="S5" s="151"/>
      <c r="T5" s="151"/>
      <c r="U5" s="151"/>
      <c r="V5" s="151"/>
      <c r="W5" s="151"/>
      <c r="X5" s="151"/>
      <c r="Y5" s="151"/>
      <c r="Z5" s="151"/>
      <c r="AA5" s="151"/>
      <c r="AB5" s="151"/>
      <c r="AC5" s="151"/>
      <c r="AD5" s="151"/>
      <c r="AE5" s="151"/>
      <c r="AF5" s="151"/>
      <c r="AG5" s="151"/>
    </row>
    <row r="6" spans="1:33" s="336" customFormat="1" ht="24">
      <c r="A6" s="367"/>
      <c r="B6" s="249">
        <v>1</v>
      </c>
      <c r="C6" s="249">
        <v>2</v>
      </c>
      <c r="D6" s="249">
        <v>3</v>
      </c>
      <c r="E6" s="249">
        <v>4</v>
      </c>
      <c r="F6" s="249">
        <v>5</v>
      </c>
      <c r="G6" s="249">
        <v>6</v>
      </c>
      <c r="H6" s="368" t="s">
        <v>742</v>
      </c>
      <c r="I6" s="369" t="s">
        <v>732</v>
      </c>
      <c r="J6" s="249">
        <v>1</v>
      </c>
      <c r="K6" s="249">
        <v>2</v>
      </c>
      <c r="L6" s="249">
        <v>3</v>
      </c>
      <c r="M6" s="248" t="s">
        <v>733</v>
      </c>
      <c r="N6" s="248">
        <v>1</v>
      </c>
      <c r="O6" s="249">
        <v>2</v>
      </c>
      <c r="P6" s="248" t="s">
        <v>733</v>
      </c>
      <c r="R6" s="151"/>
      <c r="S6" s="151"/>
      <c r="T6" s="151"/>
      <c r="U6" s="151"/>
      <c r="V6" s="151"/>
      <c r="W6" s="151"/>
      <c r="X6" s="151"/>
      <c r="Y6" s="151"/>
      <c r="Z6" s="151"/>
      <c r="AA6" s="151"/>
      <c r="AB6" s="151"/>
      <c r="AC6" s="151"/>
      <c r="AD6" s="151"/>
      <c r="AE6" s="151"/>
      <c r="AF6" s="151"/>
      <c r="AG6" s="151"/>
    </row>
    <row r="7" spans="1:33">
      <c r="A7" s="231" t="s">
        <v>666</v>
      </c>
      <c r="B7" s="337">
        <f>+'NEW...Tables 91-112'!B41+'NEW...Tables 91-112'!C41</f>
        <v>85.147161734249977</v>
      </c>
      <c r="C7" s="337">
        <f>+'NEW...Tables 91-112'!B72+'NEW...Tables 91-112'!C72</f>
        <v>85.390275387263344</v>
      </c>
      <c r="D7" s="337">
        <f>+'NEW...Tables 91-112'!B102+'NEW...Tables 91-112'!C102</f>
        <v>72.277095175164945</v>
      </c>
      <c r="E7" s="337">
        <f>+'NEW...Tables 91-112'!B133+'NEW...Tables 91-112'!C133</f>
        <v>79.280967870996918</v>
      </c>
      <c r="F7" s="337">
        <f>+'NEW...Tables 91-112'!B164+'NEW...Tables 91-112'!C164</f>
        <v>77.875605107224601</v>
      </c>
      <c r="G7" s="337">
        <f>+'NEW...Tables 91-112'!B194+'NEW...Tables 91-112'!C194</f>
        <v>17.967640772003183</v>
      </c>
      <c r="H7" s="342">
        <f>+'NEW...Tables 91-112'!B9+'NEW...Tables 91-112'!C9</f>
        <v>80.591527576911304</v>
      </c>
      <c r="I7" s="339">
        <f>+'NEW...Tables 91-112'!B256+'NEW...Tables 91-112'!C256</f>
        <v>0</v>
      </c>
      <c r="J7" s="337">
        <f>+'NEW...Tables 91-112'!B287+'NEW...Tables 91-112'!C287</f>
        <v>63.944905869324472</v>
      </c>
      <c r="K7" s="337">
        <f>+'NEW...Tables 91-112'!B318+'NEW...Tables 91-112'!C318</f>
        <v>72.809754745186495</v>
      </c>
      <c r="L7" s="337">
        <f>+'NEW...Tables 91-112'!B349+'NEW...Tables 91-112'!C349</f>
        <v>62.935058947085309</v>
      </c>
      <c r="M7" s="339">
        <f>+'NEW...Tables 91-112'!B225+'NEW...Tables 91-112'!C225</f>
        <v>69.059761959162827</v>
      </c>
      <c r="N7" s="340">
        <f>+'NEW...Tables 91-112'!B410+'NEW...Tables 91-112'!C410</f>
        <v>85.235807564787876</v>
      </c>
      <c r="O7" s="266">
        <f>+'NEW...Tables 91-112'!B440+'NEW...Tables 91-112'!C440</f>
        <v>88.037238169123356</v>
      </c>
      <c r="P7" s="339">
        <f>+'NEW...Tables 91-112'!B380+'NEW...Tables 91-112'!C380</f>
        <v>86.648705450968123</v>
      </c>
      <c r="Q7" s="231"/>
      <c r="R7" s="231"/>
      <c r="V7" s="231"/>
    </row>
    <row r="8" spans="1:33">
      <c r="A8" s="231" t="s">
        <v>667</v>
      </c>
      <c r="B8" s="337">
        <f>+'NEW...Tables 91-112'!B42+'NEW...Tables 91-112'!C42</f>
        <v>89.873857693099453</v>
      </c>
      <c r="C8" s="337">
        <f>+'NEW...Tables 91-112'!B73+'NEW...Tables 91-112'!C73</f>
        <v>57.854453831332442</v>
      </c>
      <c r="D8" s="337">
        <f>+'NEW...Tables 91-112'!B103+'NEW...Tables 91-112'!C103</f>
        <v>76.630471437242861</v>
      </c>
      <c r="E8" s="337">
        <f>+'NEW...Tables 91-112'!B134+'NEW...Tables 91-112'!C134</f>
        <v>79.354722117551162</v>
      </c>
      <c r="F8" s="337">
        <f>+'NEW...Tables 91-112'!B165+'NEW...Tables 91-112'!C165</f>
        <v>0</v>
      </c>
      <c r="G8" s="337">
        <f>+'NEW...Tables 91-112'!B195+'NEW...Tables 91-112'!C195</f>
        <v>75.001761090467213</v>
      </c>
      <c r="H8" s="342">
        <f>+'NEW...Tables 91-112'!B10+'NEW...Tables 91-112'!C10</f>
        <v>79.476766419899647</v>
      </c>
      <c r="I8" s="339">
        <f>+'NEW...Tables 91-112'!B257+'NEW...Tables 91-112'!C257</f>
        <v>0</v>
      </c>
      <c r="J8" s="337">
        <f>+'NEW...Tables 91-112'!B288+'NEW...Tables 91-112'!C288</f>
        <v>69.239927229921349</v>
      </c>
      <c r="K8" s="337">
        <f>+'NEW...Tables 91-112'!B319+'NEW...Tables 91-112'!C319</f>
        <v>68.458773705319715</v>
      </c>
      <c r="L8" s="337">
        <f>+'NEW...Tables 91-112'!B350+'NEW...Tables 91-112'!C350</f>
        <v>69.391280828980513</v>
      </c>
      <c r="M8" s="339">
        <f>+'NEW...Tables 91-112'!B226+'NEW...Tables 91-112'!C226</f>
        <v>69.178814838273937</v>
      </c>
      <c r="N8" s="340">
        <f>+'NEW...Tables 91-112'!B411+'NEW...Tables 91-112'!C411</f>
        <v>0</v>
      </c>
      <c r="O8" s="266">
        <f>+'NEW...Tables 91-112'!B441+'NEW...Tables 91-112'!C441</f>
        <v>0</v>
      </c>
      <c r="P8" s="339">
        <f>+'NEW...Tables 91-112'!B381+'NEW...Tables 91-112'!C381</f>
        <v>0</v>
      </c>
    </row>
    <row r="9" spans="1:33">
      <c r="A9" s="231" t="s">
        <v>668</v>
      </c>
      <c r="B9" s="337">
        <f>+'NEW...Tables 91-112'!B43+'NEW...Tables 91-112'!C43</f>
        <v>95.831240582621803</v>
      </c>
      <c r="C9" s="337">
        <f>+'NEW...Tables 91-112'!B74+'NEW...Tables 91-112'!C74</f>
        <v>0</v>
      </c>
      <c r="D9" s="337">
        <f>+'NEW...Tables 91-112'!B104+'NEW...Tables 91-112'!C104</f>
        <v>88.16885357229279</v>
      </c>
      <c r="E9" s="337">
        <f>+'NEW...Tables 91-112'!B135+'NEW...Tables 91-112'!C135</f>
        <v>0</v>
      </c>
      <c r="F9" s="337">
        <f>+'NEW...Tables 91-112'!B166+'NEW...Tables 91-112'!C166</f>
        <v>0</v>
      </c>
      <c r="G9" s="337">
        <f>+'NEW...Tables 91-112'!B196+'NEW...Tables 91-112'!C196</f>
        <v>0</v>
      </c>
      <c r="H9" s="342">
        <f>+'NEW...Tables 91-112'!B11+'NEW...Tables 91-112'!C11</f>
        <v>94.481730872337437</v>
      </c>
      <c r="I9" s="339">
        <f>+'NEW...Tables 91-112'!B258+'NEW...Tables 91-112'!C258</f>
        <v>0</v>
      </c>
      <c r="J9" s="337">
        <f>+'NEW...Tables 91-112'!B289+'NEW...Tables 91-112'!C289</f>
        <v>0</v>
      </c>
      <c r="K9" s="337">
        <f>+'NEW...Tables 91-112'!B320+'NEW...Tables 91-112'!C320</f>
        <v>78.871152136173095</v>
      </c>
      <c r="L9" s="337">
        <f>+'NEW...Tables 91-112'!B351+'NEW...Tables 91-112'!C351</f>
        <v>0</v>
      </c>
      <c r="M9" s="339">
        <f>+'NEW...Tables 91-112'!B227+'NEW...Tables 91-112'!C227</f>
        <v>78.871152136173095</v>
      </c>
      <c r="N9" s="340">
        <f>+'NEW...Tables 91-112'!B412+'NEW...Tables 91-112'!C412</f>
        <v>0</v>
      </c>
      <c r="O9" s="266">
        <f>+'NEW...Tables 91-112'!B442+'NEW...Tables 91-112'!C442</f>
        <v>0</v>
      </c>
      <c r="P9" s="339">
        <f>+'NEW...Tables 91-112'!B382+'NEW...Tables 91-112'!C382</f>
        <v>0</v>
      </c>
    </row>
    <row r="10" spans="1:33">
      <c r="A10" s="231" t="s">
        <v>669</v>
      </c>
      <c r="B10" s="337">
        <f>+'NEW...Tables 91-112'!B44+'NEW...Tables 91-112'!C44</f>
        <v>0</v>
      </c>
      <c r="C10" s="337">
        <f>+'NEW...Tables 91-112'!B75+'NEW...Tables 91-112'!C75</f>
        <v>0</v>
      </c>
      <c r="D10" s="337">
        <f>+'NEW...Tables 91-112'!B105+'NEW...Tables 91-112'!C105</f>
        <v>0</v>
      </c>
      <c r="E10" s="337">
        <f>+'NEW...Tables 91-112'!B136+'NEW...Tables 91-112'!C136</f>
        <v>0</v>
      </c>
      <c r="F10" s="337">
        <f>+'NEW...Tables 91-112'!B167+'NEW...Tables 91-112'!C167</f>
        <v>0</v>
      </c>
      <c r="G10" s="337">
        <f>+'NEW...Tables 91-112'!B197+'NEW...Tables 91-112'!C197</f>
        <v>0</v>
      </c>
      <c r="H10" s="342">
        <f>+'NEW...Tables 91-112'!B12+'NEW...Tables 91-112'!C12</f>
        <v>0</v>
      </c>
      <c r="I10" s="339">
        <f>+'NEW...Tables 91-112'!B259+'NEW...Tables 91-112'!C259</f>
        <v>70.441773505317656</v>
      </c>
      <c r="J10" s="337">
        <f>+'NEW...Tables 91-112'!B290+'NEW...Tables 91-112'!C290</f>
        <v>65.585587925861475</v>
      </c>
      <c r="K10" s="337">
        <f>+'NEW...Tables 91-112'!B321+'NEW...Tables 91-112'!C321</f>
        <v>0</v>
      </c>
      <c r="L10" s="337">
        <f>+'NEW...Tables 91-112'!B352+'NEW...Tables 91-112'!C352</f>
        <v>63.869046177688453</v>
      </c>
      <c r="M10" s="339">
        <f>+'NEW...Tables 91-112'!B228+'NEW...Tables 91-112'!C228</f>
        <v>69.958605868576939</v>
      </c>
      <c r="N10" s="340">
        <f>+'NEW...Tables 91-112'!B413+'NEW...Tables 91-112'!C413</f>
        <v>0</v>
      </c>
      <c r="O10" s="266">
        <f>+'NEW...Tables 91-112'!B443+'NEW...Tables 91-112'!C443</f>
        <v>0</v>
      </c>
      <c r="P10" s="339">
        <f>+'NEW...Tables 91-112'!B383+'NEW...Tables 91-112'!C383</f>
        <v>0</v>
      </c>
    </row>
    <row r="11" spans="1:33">
      <c r="A11" s="231"/>
      <c r="B11" s="337"/>
      <c r="C11" s="337"/>
      <c r="D11" s="337"/>
      <c r="E11" s="337"/>
      <c r="F11" s="337"/>
      <c r="G11" s="337"/>
      <c r="H11" s="342"/>
      <c r="I11" s="339"/>
      <c r="J11" s="337"/>
      <c r="K11" s="337"/>
      <c r="L11" s="337"/>
      <c r="M11" s="339"/>
      <c r="N11" s="340"/>
      <c r="O11" s="266"/>
      <c r="P11" s="339"/>
    </row>
    <row r="12" spans="1:33">
      <c r="A12" s="231" t="s">
        <v>670</v>
      </c>
      <c r="B12" s="337">
        <f>+'NEW...Tables 91-112'!B46+'NEW...Tables 91-112'!C46</f>
        <v>85.73699767048511</v>
      </c>
      <c r="C12" s="337">
        <f>+'NEW...Tables 91-112'!B77+'NEW...Tables 91-112'!C77</f>
        <v>97.57173174791707</v>
      </c>
      <c r="D12" s="337">
        <f>+'NEW...Tables 91-112'!B107+'NEW...Tables 91-112'!C107</f>
        <v>71.451032710694335</v>
      </c>
      <c r="E12" s="337">
        <f>+'NEW...Tables 91-112'!B138+'NEW...Tables 91-112'!C138</f>
        <v>79.041341199164023</v>
      </c>
      <c r="F12" s="337">
        <f>+'NEW...Tables 91-112'!B169+'NEW...Tables 91-112'!C169</f>
        <v>80.622032655266921</v>
      </c>
      <c r="G12" s="337">
        <f>+'NEW...Tables 91-112'!B199+'NEW...Tables 91-112'!C199</f>
        <v>81.994942642021044</v>
      </c>
      <c r="H12" s="342">
        <f>+'NEW...Tables 91-112'!B14+'NEW...Tables 91-112'!C14</f>
        <v>80.347846139827695</v>
      </c>
      <c r="I12" s="339">
        <f>+'NEW...Tables 91-112'!B261+'NEW...Tables 91-112'!C261</f>
        <v>70.797278552084023</v>
      </c>
      <c r="J12" s="337">
        <f>+'NEW...Tables 91-112'!B292+'NEW...Tables 91-112'!C292</f>
        <v>0</v>
      </c>
      <c r="K12" s="337">
        <f>+'NEW...Tables 91-112'!B323+'NEW...Tables 91-112'!C323</f>
        <v>0</v>
      </c>
      <c r="L12" s="337">
        <f>+'NEW...Tables 91-112'!B354+'NEW...Tables 91-112'!C354</f>
        <v>0</v>
      </c>
      <c r="M12" s="339">
        <f>+'NEW...Tables 91-112'!B230+'NEW...Tables 91-112'!C230</f>
        <v>70.797278552084023</v>
      </c>
      <c r="N12" s="340">
        <f>+'NEW...Tables 91-112'!B415+'NEW...Tables 91-112'!C415</f>
        <v>61.294044341152464</v>
      </c>
      <c r="O12" s="266">
        <f>+'NEW...Tables 91-112'!B445+'NEW...Tables 91-112'!C445</f>
        <v>0</v>
      </c>
      <c r="P12" s="339">
        <f>+'NEW...Tables 91-112'!B385+'NEW...Tables 91-112'!C385</f>
        <v>61.294044341152464</v>
      </c>
    </row>
    <row r="13" spans="1:33">
      <c r="A13" s="231" t="s">
        <v>671</v>
      </c>
      <c r="B13" s="337">
        <f>+'NEW...Tables 91-112'!B47+'NEW...Tables 91-112'!C47</f>
        <v>88.1534904058949</v>
      </c>
      <c r="C13" s="337">
        <f>+'NEW...Tables 91-112'!B78+'NEW...Tables 91-112'!C78</f>
        <v>0</v>
      </c>
      <c r="D13" s="337">
        <f>+'NEW...Tables 91-112'!B108+'NEW...Tables 91-112'!C108</f>
        <v>77.239381999093723</v>
      </c>
      <c r="E13" s="337">
        <f>+'NEW...Tables 91-112'!B139+'NEW...Tables 91-112'!C139</f>
        <v>64.75233868366314</v>
      </c>
      <c r="F13" s="337">
        <f>+'NEW...Tables 91-112'!B170+'NEW...Tables 91-112'!C170</f>
        <v>0</v>
      </c>
      <c r="G13" s="337">
        <f>+'NEW...Tables 91-112'!B200+'NEW...Tables 91-112'!C200</f>
        <v>0</v>
      </c>
      <c r="H13" s="342">
        <f>+'NEW...Tables 91-112'!B15+'NEW...Tables 91-112'!C15</f>
        <v>81.454841307913028</v>
      </c>
      <c r="I13" s="339">
        <f>+'NEW...Tables 91-112'!B262+'NEW...Tables 91-112'!C262</f>
        <v>0</v>
      </c>
      <c r="J13" s="337">
        <f>+'NEW...Tables 91-112'!B293+'NEW...Tables 91-112'!C293</f>
        <v>64.562229269360856</v>
      </c>
      <c r="K13" s="337">
        <f>+'NEW...Tables 91-112'!B324+'NEW...Tables 91-112'!C324</f>
        <v>54.40824214142237</v>
      </c>
      <c r="L13" s="337">
        <f>+'NEW...Tables 91-112'!B355+'NEW...Tables 91-112'!C355</f>
        <v>50.110798849800808</v>
      </c>
      <c r="M13" s="339">
        <f>+'NEW...Tables 91-112'!B231+'NEW...Tables 91-112'!C231</f>
        <v>56.340805397469701</v>
      </c>
      <c r="N13" s="340">
        <f>+'NEW...Tables 91-112'!B416+'NEW...Tables 91-112'!C416</f>
        <v>66.408514554304162</v>
      </c>
      <c r="O13" s="266">
        <f>+'NEW...Tables 91-112'!B446+'NEW...Tables 91-112'!C446</f>
        <v>0</v>
      </c>
      <c r="P13" s="339">
        <f>+'NEW...Tables 91-112'!B386+'NEW...Tables 91-112'!C386</f>
        <v>66.408514554304162</v>
      </c>
    </row>
    <row r="14" spans="1:33">
      <c r="A14" s="231" t="s">
        <v>672</v>
      </c>
      <c r="B14" s="337">
        <f>+'NEW...Tables 91-112'!B48+'NEW...Tables 91-112'!C48</f>
        <v>95.404364569961473</v>
      </c>
      <c r="C14" s="337">
        <f>+'NEW...Tables 91-112'!B79+'NEW...Tables 91-112'!C79</f>
        <v>85.959798666307606</v>
      </c>
      <c r="D14" s="337">
        <f>+'NEW...Tables 91-112'!B109+'NEW...Tables 91-112'!C109</f>
        <v>80.049235654900983</v>
      </c>
      <c r="E14" s="337">
        <f>+'NEW...Tables 91-112'!B140+'NEW...Tables 91-112'!C140</f>
        <v>71.406043246528881</v>
      </c>
      <c r="F14" s="337">
        <f>+'NEW...Tables 91-112'!B171+'NEW...Tables 91-112'!C171</f>
        <v>69.724025974025977</v>
      </c>
      <c r="G14" s="337">
        <f>+'NEW...Tables 91-112'!B201+'NEW...Tables 91-112'!C201</f>
        <v>58.268275372604727</v>
      </c>
      <c r="H14" s="342">
        <f>+'NEW...Tables 91-112'!B16+'NEW...Tables 91-112'!C16</f>
        <v>82.814677764193576</v>
      </c>
      <c r="I14" s="339">
        <f>+'NEW...Tables 91-112'!B263+'NEW...Tables 91-112'!C263</f>
        <v>0</v>
      </c>
      <c r="J14" s="337">
        <f>+'NEW...Tables 91-112'!B294+'NEW...Tables 91-112'!C294</f>
        <v>78.93508204169791</v>
      </c>
      <c r="K14" s="337">
        <f>+'NEW...Tables 91-112'!B325+'NEW...Tables 91-112'!C325</f>
        <v>71.253604937818039</v>
      </c>
      <c r="L14" s="337">
        <f>+'NEW...Tables 91-112'!B356+'NEW...Tables 91-112'!C356</f>
        <v>71.289192199535407</v>
      </c>
      <c r="M14" s="339">
        <f>+'NEW...Tables 91-112'!B232+'NEW...Tables 91-112'!C232</f>
        <v>74.503353362399722</v>
      </c>
      <c r="N14" s="340">
        <f>+'NEW...Tables 91-112'!B417+'NEW...Tables 91-112'!C417</f>
        <v>77.95643303307719</v>
      </c>
      <c r="O14" s="266">
        <f>+'NEW...Tables 91-112'!B447+'NEW...Tables 91-112'!C447</f>
        <v>99.392712550607285</v>
      </c>
      <c r="P14" s="339">
        <f>+'NEW...Tables 91-112'!B387+'NEW...Tables 91-112'!C387</f>
        <v>79.975754359433083</v>
      </c>
    </row>
    <row r="15" spans="1:33">
      <c r="A15" s="231" t="s">
        <v>673</v>
      </c>
      <c r="B15" s="337">
        <f>+'NEW...Tables 91-112'!B49+'NEW...Tables 91-112'!C49</f>
        <v>94.457963967476687</v>
      </c>
      <c r="C15" s="337">
        <f>+'NEW...Tables 91-112'!B80+'NEW...Tables 91-112'!C80</f>
        <v>86.719112589326983</v>
      </c>
      <c r="D15" s="337">
        <f>+'NEW...Tables 91-112'!B110+'NEW...Tables 91-112'!C110</f>
        <v>86.345482840801154</v>
      </c>
      <c r="E15" s="337">
        <f>+'NEW...Tables 91-112'!B141+'NEW...Tables 91-112'!C141</f>
        <v>81.706404419526351</v>
      </c>
      <c r="F15" s="337">
        <f>+'NEW...Tables 91-112'!B172+'NEW...Tables 91-112'!C172</f>
        <v>79.782962200909296</v>
      </c>
      <c r="G15" s="337">
        <f>+'NEW...Tables 91-112'!B202+'NEW...Tables 91-112'!C202</f>
        <v>99.504929367077793</v>
      </c>
      <c r="H15" s="342">
        <f>+'NEW...Tables 91-112'!B17+'NEW...Tables 91-112'!C17</f>
        <v>68.583550183343704</v>
      </c>
      <c r="I15" s="339">
        <f>+'NEW...Tables 91-112'!B264+'NEW...Tables 91-112'!C264</f>
        <v>0</v>
      </c>
      <c r="J15" s="337">
        <f>+'NEW...Tables 91-112'!B295+'NEW...Tables 91-112'!C295</f>
        <v>82.060545809214261</v>
      </c>
      <c r="K15" s="337">
        <f>+'NEW...Tables 91-112'!B326+'NEW...Tables 91-112'!C326</f>
        <v>69.22044669440109</v>
      </c>
      <c r="L15" s="337">
        <f>+'NEW...Tables 91-112'!B357+'NEW...Tables 91-112'!C357</f>
        <v>72.962560795686471</v>
      </c>
      <c r="M15" s="339">
        <f>+'NEW...Tables 91-112'!B233+'NEW...Tables 91-112'!C233</f>
        <v>78.583732814376873</v>
      </c>
      <c r="N15" s="340">
        <f>+'NEW...Tables 91-112'!B418+'NEW...Tables 91-112'!C418</f>
        <v>0</v>
      </c>
      <c r="O15" s="266">
        <f>+'NEW...Tables 91-112'!B448+'NEW...Tables 91-112'!C448</f>
        <v>0</v>
      </c>
      <c r="P15" s="339">
        <f>+'NEW...Tables 91-112'!B388+'NEW...Tables 91-112'!C388</f>
        <v>0</v>
      </c>
    </row>
    <row r="16" spans="1:33">
      <c r="A16" s="231"/>
      <c r="B16" s="337"/>
      <c r="C16" s="337"/>
      <c r="D16" s="337"/>
      <c r="E16" s="337"/>
      <c r="F16" s="337"/>
      <c r="G16" s="337"/>
      <c r="H16" s="342"/>
      <c r="I16" s="339"/>
      <c r="J16" s="337"/>
      <c r="K16" s="337"/>
      <c r="L16" s="337"/>
      <c r="M16" s="339"/>
      <c r="N16" s="340"/>
      <c r="O16" s="266"/>
      <c r="P16" s="339"/>
    </row>
    <row r="17" spans="1:25" ht="15.75" customHeight="1">
      <c r="A17" s="231" t="s">
        <v>674</v>
      </c>
      <c r="B17" s="337">
        <f>+'NEW...Tables 91-112'!B51+'NEW...Tables 91-112'!C51</f>
        <v>82.676455912752147</v>
      </c>
      <c r="C17" s="337">
        <f>+'NEW...Tables 91-112'!B82+'NEW...Tables 91-112'!C82</f>
        <v>67.545142599988736</v>
      </c>
      <c r="D17" s="337">
        <f>+'NEW...Tables 91-112'!B112+'NEW...Tables 91-112'!C112</f>
        <v>0</v>
      </c>
      <c r="E17" s="337">
        <f>+'NEW...Tables 91-112'!B143+'NEW...Tables 91-112'!C143</f>
        <v>63.881615276680243</v>
      </c>
      <c r="F17" s="337">
        <f>+'NEW...Tables 91-112'!B174+'NEW...Tables 91-112'!C174</f>
        <v>0</v>
      </c>
      <c r="G17" s="337">
        <f>+'NEW...Tables 91-112'!B204+'NEW...Tables 91-112'!C204</f>
        <v>0</v>
      </c>
      <c r="H17" s="342">
        <f>+'NEW...Tables 91-112'!B19+'NEW...Tables 91-112'!C19</f>
        <v>78.574883343951882</v>
      </c>
      <c r="I17" s="339">
        <f>+'NEW...Tables 91-112'!B266+'NEW...Tables 91-112'!C266</f>
        <v>0</v>
      </c>
      <c r="J17" s="337">
        <f>+'NEW...Tables 91-112'!B297+'NEW...Tables 91-112'!C297</f>
        <v>100</v>
      </c>
      <c r="K17" s="337">
        <f>+'NEW...Tables 91-112'!B328+'NEW...Tables 91-112'!C328</f>
        <v>100</v>
      </c>
      <c r="L17" s="337">
        <f>+'NEW...Tables 91-112'!B359+'NEW...Tables 91-112'!C359</f>
        <v>100</v>
      </c>
      <c r="M17" s="339">
        <f>+'NEW...Tables 91-112'!B235+'NEW...Tables 91-112'!C235</f>
        <v>100</v>
      </c>
      <c r="N17" s="340">
        <f>+'NEW...Tables 91-112'!B420+'NEW...Tables 91-112'!C420</f>
        <v>0</v>
      </c>
      <c r="O17" s="266">
        <f>+'NEW...Tables 91-112'!B450+'NEW...Tables 91-112'!C450</f>
        <v>0</v>
      </c>
      <c r="P17" s="339">
        <f>+'NEW...Tables 91-112'!B390+'NEW...Tables 91-112'!C390</f>
        <v>0</v>
      </c>
    </row>
    <row r="18" spans="1:25" ht="15.75" customHeight="1">
      <c r="A18" s="231" t="s">
        <v>675</v>
      </c>
      <c r="B18" s="337">
        <f>+'NEW...Tables 91-112'!B52+'NEW...Tables 91-112'!C52</f>
        <v>85.017804587467438</v>
      </c>
      <c r="C18" s="337">
        <f>+'NEW...Tables 91-112'!B83+'NEW...Tables 91-112'!C83</f>
        <v>76.773355457066131</v>
      </c>
      <c r="D18" s="337">
        <f>+'NEW...Tables 91-112'!B113+'NEW...Tables 91-112'!C113</f>
        <v>82.022747641079818</v>
      </c>
      <c r="E18" s="337">
        <f>+'NEW...Tables 91-112'!B144+'NEW...Tables 91-112'!C144</f>
        <v>55.041801285680975</v>
      </c>
      <c r="F18" s="337">
        <f>+'NEW...Tables 91-112'!B175+'NEW...Tables 91-112'!C175</f>
        <v>70.764404820868421</v>
      </c>
      <c r="G18" s="337">
        <f>+'NEW...Tables 91-112'!B205+'NEW...Tables 91-112'!C205</f>
        <v>91.17900024082293</v>
      </c>
      <c r="H18" s="342">
        <f>+'NEW...Tables 91-112'!B20+'NEW...Tables 91-112'!C20</f>
        <v>81.683875270020948</v>
      </c>
      <c r="I18" s="339">
        <f>+'NEW...Tables 91-112'!B267+'NEW...Tables 91-112'!C267</f>
        <v>0</v>
      </c>
      <c r="J18" s="337">
        <f>+'NEW...Tables 91-112'!B298+'NEW...Tables 91-112'!C298</f>
        <v>56.129376413756312</v>
      </c>
      <c r="K18" s="337">
        <f>+'NEW...Tables 91-112'!B329+'NEW...Tables 91-112'!C329</f>
        <v>53.666536195850782</v>
      </c>
      <c r="L18" s="337">
        <f>+'NEW...Tables 91-112'!B360+'NEW...Tables 91-112'!C360</f>
        <v>49.560057463434234</v>
      </c>
      <c r="M18" s="339">
        <f>+'NEW...Tables 91-112'!B236+'NEW...Tables 91-112'!C236</f>
        <v>54.094441725023664</v>
      </c>
      <c r="N18" s="340">
        <f>+'NEW...Tables 91-112'!B421+'NEW...Tables 91-112'!C421</f>
        <v>0</v>
      </c>
      <c r="O18" s="266">
        <f>+'NEW...Tables 91-112'!B451+'NEW...Tables 91-112'!C451</f>
        <v>0</v>
      </c>
      <c r="P18" s="339">
        <f>+'NEW...Tables 91-112'!B391+'NEW...Tables 91-112'!C391</f>
        <v>0</v>
      </c>
    </row>
    <row r="19" spans="1:25" ht="15.75" customHeight="1">
      <c r="A19" s="231" t="s">
        <v>676</v>
      </c>
      <c r="B19" s="337">
        <f>+'NEW...Tables 91-112'!B53+'NEW...Tables 91-112'!C53</f>
        <v>84.620660250138826</v>
      </c>
      <c r="C19" s="337">
        <f>+'NEW...Tables 91-112'!B84+'NEW...Tables 91-112'!C84</f>
        <v>0</v>
      </c>
      <c r="D19" s="337">
        <f>+'NEW...Tables 91-112'!B114+'NEW...Tables 91-112'!C114</f>
        <v>72.292347985282532</v>
      </c>
      <c r="E19" s="337">
        <f>+'NEW...Tables 91-112'!B145+'NEW...Tables 91-112'!C145</f>
        <v>66.288682715824791</v>
      </c>
      <c r="F19" s="337">
        <f>+'NEW...Tables 91-112'!B176+'NEW...Tables 91-112'!C176</f>
        <v>73.852727233326348</v>
      </c>
      <c r="G19" s="337">
        <f>+'NEW...Tables 91-112'!B206+'NEW...Tables 91-112'!C206</f>
        <v>72.279407476526501</v>
      </c>
      <c r="H19" s="342">
        <f>+'NEW...Tables 91-112'!B21+'NEW...Tables 91-112'!C21</f>
        <v>78.381515963107262</v>
      </c>
      <c r="I19" s="339">
        <f>+'NEW...Tables 91-112'!B268+'NEW...Tables 91-112'!C268</f>
        <v>65.225322439751295</v>
      </c>
      <c r="J19" s="337">
        <f>+'NEW...Tables 91-112'!B299+'NEW...Tables 91-112'!C299</f>
        <v>73.613600355756105</v>
      </c>
      <c r="K19" s="337">
        <f>+'NEW...Tables 91-112'!B330+'NEW...Tables 91-112'!C330</f>
        <v>67.01319311567454</v>
      </c>
      <c r="L19" s="337">
        <f>+'NEW...Tables 91-112'!B361+'NEW...Tables 91-112'!C361</f>
        <v>65.679998645926787</v>
      </c>
      <c r="M19" s="339">
        <f>+'NEW...Tables 91-112'!B237+'NEW...Tables 91-112'!C237</f>
        <v>69.236325605601891</v>
      </c>
      <c r="N19" s="340">
        <f>+'NEW...Tables 91-112'!B422+'NEW...Tables 91-112'!C422</f>
        <v>0</v>
      </c>
      <c r="O19" s="266">
        <f>+'NEW...Tables 91-112'!B452+'NEW...Tables 91-112'!C452</f>
        <v>0</v>
      </c>
      <c r="P19" s="339">
        <f>+'NEW...Tables 91-112'!B392+'NEW...Tables 91-112'!C392</f>
        <v>0</v>
      </c>
    </row>
    <row r="20" spans="1:25" ht="15.75" customHeight="1">
      <c r="A20" s="231" t="s">
        <v>677</v>
      </c>
      <c r="B20" s="337">
        <f>+'NEW...Tables 91-112'!B54+'NEW...Tables 91-112'!C54</f>
        <v>88.579723379775444</v>
      </c>
      <c r="C20" s="337">
        <f>+'NEW...Tables 91-112'!B85+'NEW...Tables 91-112'!C85</f>
        <v>0</v>
      </c>
      <c r="D20" s="337">
        <f>+'NEW...Tables 91-112'!B115+'NEW...Tables 91-112'!C115</f>
        <v>90.158985233010355</v>
      </c>
      <c r="E20" s="337">
        <f>+'NEW...Tables 91-112'!B146+'NEW...Tables 91-112'!C146</f>
        <v>81.407021355591908</v>
      </c>
      <c r="F20" s="337">
        <f>+'NEW...Tables 91-112'!B177+'NEW...Tables 91-112'!C177</f>
        <v>89.135842200186374</v>
      </c>
      <c r="G20" s="337">
        <f>+'NEW...Tables 91-112'!B207+'NEW...Tables 91-112'!C207</f>
        <v>78.313079910049396</v>
      </c>
      <c r="H20" s="342">
        <f>+'NEW...Tables 91-112'!B22+'NEW...Tables 91-112'!C22</f>
        <v>86.726555537589732</v>
      </c>
      <c r="I20" s="339">
        <f>+'NEW...Tables 91-112'!B269+'NEW...Tables 91-112'!C269</f>
        <v>0</v>
      </c>
      <c r="J20" s="337">
        <f>+'NEW...Tables 91-112'!B300+'NEW...Tables 91-112'!C300</f>
        <v>62.384547588964345</v>
      </c>
      <c r="K20" s="337">
        <f>+'NEW...Tables 91-112'!B331+'NEW...Tables 91-112'!C331</f>
        <v>63.186193651569042</v>
      </c>
      <c r="L20" s="337">
        <f>+'NEW...Tables 91-112'!B362+'NEW...Tables 91-112'!C362</f>
        <v>69.730359191928812</v>
      </c>
      <c r="M20" s="339">
        <f>+'NEW...Tables 91-112'!B238+'NEW...Tables 91-112'!C238</f>
        <v>63.90962743499967</v>
      </c>
      <c r="N20" s="340">
        <f>+'NEW...Tables 91-112'!B423+'NEW...Tables 91-112'!C423</f>
        <v>0</v>
      </c>
      <c r="O20" s="266">
        <f>+'NEW...Tables 91-112'!B453+'NEW...Tables 91-112'!C453</f>
        <v>0</v>
      </c>
      <c r="P20" s="339">
        <f>+'NEW...Tables 91-112'!B393+'NEW...Tables 91-112'!C393</f>
        <v>0</v>
      </c>
    </row>
    <row r="21" spans="1:25" ht="15.75" customHeight="1">
      <c r="A21" s="231"/>
      <c r="B21" s="337"/>
      <c r="C21" s="337"/>
      <c r="D21" s="337"/>
      <c r="E21" s="337"/>
      <c r="F21" s="337"/>
      <c r="G21" s="337"/>
      <c r="H21" s="342"/>
      <c r="I21" s="339"/>
      <c r="J21" s="337"/>
      <c r="K21" s="337"/>
      <c r="L21" s="337"/>
      <c r="M21" s="339"/>
      <c r="N21" s="340"/>
      <c r="O21" s="266"/>
      <c r="P21" s="339"/>
    </row>
    <row r="22" spans="1:25" ht="15.75" customHeight="1">
      <c r="A22" s="231" t="s">
        <v>678</v>
      </c>
      <c r="B22" s="337">
        <f>+'NEW...Tables 91-112'!B56+'NEW...Tables 91-112'!C56</f>
        <v>82.820309567318418</v>
      </c>
      <c r="C22" s="337">
        <f>+'NEW...Tables 91-112'!B87+'NEW...Tables 91-112'!C87</f>
        <v>75.383050982355201</v>
      </c>
      <c r="D22" s="337">
        <f>+'NEW...Tables 91-112'!B117+'NEW...Tables 91-112'!C117</f>
        <v>68.98488556807186</v>
      </c>
      <c r="E22" s="337">
        <f>+'NEW...Tables 91-112'!B148+'NEW...Tables 91-112'!C148</f>
        <v>0</v>
      </c>
      <c r="F22" s="337">
        <f>+'NEW...Tables 91-112'!B179+'NEW...Tables 91-112'!C179</f>
        <v>82.263414029323329</v>
      </c>
      <c r="G22" s="337">
        <f>+'NEW...Tables 91-112'!B209+'NEW...Tables 91-112'!C209</f>
        <v>0</v>
      </c>
      <c r="H22" s="342">
        <f>+'NEW...Tables 91-112'!B24+'NEW...Tables 91-112'!C24</f>
        <v>76.733901948868152</v>
      </c>
      <c r="I22" s="339">
        <f>+'NEW...Tables 91-112'!B271+'NEW...Tables 91-112'!C271</f>
        <v>0</v>
      </c>
      <c r="J22" s="337">
        <f>+'NEW...Tables 91-112'!B302+'NEW...Tables 91-112'!C302</f>
        <v>70.194235132253922</v>
      </c>
      <c r="K22" s="337">
        <f>+'NEW...Tables 91-112'!B333+'NEW...Tables 91-112'!C333</f>
        <v>67.007725233620846</v>
      </c>
      <c r="L22" s="337">
        <f>+'NEW...Tables 91-112'!B364+'NEW...Tables 91-112'!C364</f>
        <v>67.704575659768366</v>
      </c>
      <c r="M22" s="339">
        <f>+'NEW...Tables 91-112'!B240+'NEW...Tables 91-112'!C240</f>
        <v>68.666629990495409</v>
      </c>
      <c r="N22" s="340">
        <f>+'NEW...Tables 91-112'!B425+'NEW...Tables 91-112'!C425</f>
        <v>0</v>
      </c>
      <c r="O22" s="266">
        <f>+'NEW...Tables 91-112'!B455+'NEW...Tables 91-112'!C455</f>
        <v>0</v>
      </c>
      <c r="P22" s="339">
        <f>+'NEW...Tables 91-112'!B395+'NEW...Tables 91-112'!C395</f>
        <v>0</v>
      </c>
    </row>
    <row r="23" spans="1:25" ht="15.75" customHeight="1">
      <c r="A23" s="231" t="s">
        <v>679</v>
      </c>
      <c r="B23" s="337">
        <f>+'NEW...Tables 91-112'!B57+'NEW...Tables 91-112'!C57</f>
        <v>0</v>
      </c>
      <c r="C23" s="337">
        <f>+'NEW...Tables 91-112'!B88+'NEW...Tables 91-112'!C88</f>
        <v>0</v>
      </c>
      <c r="D23" s="337">
        <f>+'NEW...Tables 91-112'!B118+'NEW...Tables 91-112'!C118</f>
        <v>0</v>
      </c>
      <c r="E23" s="337">
        <f>+'NEW...Tables 91-112'!B149+'NEW...Tables 91-112'!C149</f>
        <v>0</v>
      </c>
      <c r="F23" s="337">
        <f>+'NEW...Tables 91-112'!B180+'NEW...Tables 91-112'!C180</f>
        <v>0</v>
      </c>
      <c r="G23" s="337">
        <f>+'NEW...Tables 91-112'!B210+'NEW...Tables 91-112'!C210</f>
        <v>0</v>
      </c>
      <c r="H23" s="342">
        <f>+'NEW...Tables 91-112'!B25+'NEW...Tables 91-112'!C25</f>
        <v>0</v>
      </c>
      <c r="I23" s="339">
        <f>+'NEW...Tables 91-112'!B272+'NEW...Tables 91-112'!C272</f>
        <v>0</v>
      </c>
      <c r="J23" s="337">
        <f>+'NEW...Tables 91-112'!B303+'NEW...Tables 91-112'!C303</f>
        <v>0</v>
      </c>
      <c r="K23" s="337">
        <f>+'NEW...Tables 91-112'!B334+'NEW...Tables 91-112'!C334</f>
        <v>0</v>
      </c>
      <c r="L23" s="337">
        <f>+'NEW...Tables 91-112'!B365+'NEW...Tables 91-112'!C365</f>
        <v>0</v>
      </c>
      <c r="M23" s="339">
        <f>+'NEW...Tables 91-112'!B241+'NEW...Tables 91-112'!C241</f>
        <v>0</v>
      </c>
      <c r="N23" s="340">
        <f>+'NEW...Tables 91-112'!B426+'NEW...Tables 91-112'!C426</f>
        <v>0</v>
      </c>
      <c r="O23" s="266">
        <f>+'NEW...Tables 91-112'!B456+'NEW...Tables 91-112'!C456</f>
        <v>0</v>
      </c>
      <c r="P23" s="339">
        <f>+'NEW...Tables 91-112'!B396+'NEW...Tables 91-112'!C396</f>
        <v>0</v>
      </c>
    </row>
    <row r="24" spans="1:25" ht="15.75" customHeight="1">
      <c r="A24" s="231" t="s">
        <v>680</v>
      </c>
      <c r="B24" s="337">
        <f>+'NEW...Tables 91-112'!B58+'NEW...Tables 91-112'!C58</f>
        <v>88.767411954071278</v>
      </c>
      <c r="C24" s="337">
        <f>+'NEW...Tables 91-112'!B89+'NEW...Tables 91-112'!C89</f>
        <v>99.387434256435881</v>
      </c>
      <c r="D24" s="337">
        <f>+'NEW...Tables 91-112'!B119+'NEW...Tables 91-112'!C119</f>
        <v>90.037616763616427</v>
      </c>
      <c r="E24" s="337">
        <f>+'NEW...Tables 91-112'!B150+'NEW...Tables 91-112'!C150</f>
        <v>0</v>
      </c>
      <c r="F24" s="337">
        <f>+'NEW...Tables 91-112'!B181+'NEW...Tables 91-112'!C181</f>
        <v>99.918519630336419</v>
      </c>
      <c r="G24" s="337">
        <f>+'NEW...Tables 91-112'!B211+'NEW...Tables 91-112'!C211</f>
        <v>74.984716157205241</v>
      </c>
      <c r="H24" s="342">
        <f>+'NEW...Tables 91-112'!B26+'NEW...Tables 91-112'!C26</f>
        <v>89.685659567379517</v>
      </c>
      <c r="I24" s="339">
        <f>+'NEW...Tables 91-112'!B273+'NEW...Tables 91-112'!C273</f>
        <v>0</v>
      </c>
      <c r="J24" s="337">
        <f>+'NEW...Tables 91-112'!B304+'NEW...Tables 91-112'!C304</f>
        <v>71.577774981606638</v>
      </c>
      <c r="K24" s="337">
        <f>+'NEW...Tables 91-112'!B335+'NEW...Tables 91-112'!C335</f>
        <v>64.515127206689286</v>
      </c>
      <c r="L24" s="337">
        <f>+'NEW...Tables 91-112'!B366+'NEW...Tables 91-112'!C366</f>
        <v>60.181415496856985</v>
      </c>
      <c r="M24" s="339">
        <f>+'NEW...Tables 91-112'!B242+'NEW...Tables 91-112'!C242</f>
        <v>68.21844880190443</v>
      </c>
      <c r="N24" s="340">
        <f>+'NEW...Tables 91-112'!B427+'NEW...Tables 91-112'!C427</f>
        <v>0</v>
      </c>
      <c r="O24" s="266">
        <f>+'NEW...Tables 91-112'!B457+'NEW...Tables 91-112'!C457</f>
        <v>0</v>
      </c>
      <c r="P24" s="339">
        <f>+'NEW...Tables 91-112'!B397+'NEW...Tables 91-112'!C397</f>
        <v>0</v>
      </c>
    </row>
    <row r="25" spans="1:25" ht="15.75" customHeight="1">
      <c r="A25" s="237" t="s">
        <v>681</v>
      </c>
      <c r="B25" s="343">
        <f>+'NEW...Tables 91-112'!B59+'NEW...Tables 91-112'!C59</f>
        <v>86.807827724555807</v>
      </c>
      <c r="C25" s="343">
        <f>+'NEW...Tables 91-112'!B90+'NEW...Tables 91-112'!C90</f>
        <v>0</v>
      </c>
      <c r="D25" s="343">
        <f>+'NEW...Tables 91-112'!B120+'NEW...Tables 91-112'!C120</f>
        <v>80.617635602298179</v>
      </c>
      <c r="E25" s="343">
        <f>+'NEW...Tables 91-112'!B151+'NEW...Tables 91-112'!C151</f>
        <v>0</v>
      </c>
      <c r="F25" s="343">
        <f>+'NEW...Tables 91-112'!B182+'NEW...Tables 91-112'!C182</f>
        <v>80.803640235956777</v>
      </c>
      <c r="G25" s="343">
        <f>+'NEW...Tables 91-112'!B212+'NEW...Tables 91-112'!C212</f>
        <v>70.8084354568268</v>
      </c>
      <c r="H25" s="344">
        <f>+'NEW...Tables 91-112'!B27+'NEW...Tables 91-112'!C27</f>
        <v>82.200441109195737</v>
      </c>
      <c r="I25" s="345">
        <f>+'NEW...Tables 91-112'!B274+'NEW...Tables 91-112'!C274</f>
        <v>63.220464427791654</v>
      </c>
      <c r="J25" s="343">
        <f>+'NEW...Tables 91-112'!B305+'NEW...Tables 91-112'!C305</f>
        <v>0</v>
      </c>
      <c r="K25" s="343">
        <f>+'NEW...Tables 91-112'!B336+'NEW...Tables 91-112'!C336</f>
        <v>77.060668655802914</v>
      </c>
      <c r="L25" s="343">
        <f>+'NEW...Tables 91-112'!B367+'NEW...Tables 91-112'!C367</f>
        <v>65.080416050339267</v>
      </c>
      <c r="M25" s="345">
        <f>+'NEW...Tables 91-112'!B243+'NEW...Tables 91-112'!C243</f>
        <v>66.785915971731072</v>
      </c>
      <c r="N25" s="347">
        <f>+'NEW...Tables 91-112'!B428+'NEW...Tables 91-112'!C428</f>
        <v>0</v>
      </c>
      <c r="O25" s="276">
        <f>+'NEW...Tables 91-112'!B458+'NEW...Tables 91-112'!C458</f>
        <v>0</v>
      </c>
      <c r="P25" s="345">
        <f>+'NEW...Tables 91-112'!B398+'NEW...Tables 91-112'!C398</f>
        <v>0</v>
      </c>
      <c r="R25" s="361"/>
      <c r="S25" s="361"/>
      <c r="T25" s="361"/>
      <c r="U25" s="370"/>
      <c r="V25" s="370"/>
      <c r="W25" s="370"/>
    </row>
    <row r="26" spans="1:25" s="278" customFormat="1" ht="29.25" customHeight="1">
      <c r="A26" s="486" t="s">
        <v>840</v>
      </c>
      <c r="B26" s="486"/>
      <c r="C26" s="486"/>
      <c r="D26" s="486"/>
      <c r="E26" s="486"/>
      <c r="F26" s="486"/>
      <c r="G26" s="486"/>
      <c r="H26" s="486"/>
      <c r="I26" s="486"/>
      <c r="J26" s="486"/>
      <c r="K26" s="486"/>
      <c r="L26" s="486"/>
      <c r="M26" s="486"/>
      <c r="N26" s="486"/>
      <c r="O26" s="486"/>
      <c r="P26" s="486"/>
    </row>
    <row r="27" spans="1:25" s="278" customFormat="1" ht="10"/>
    <row r="28" spans="1:25" s="278" customFormat="1" ht="10">
      <c r="M28" s="348"/>
      <c r="P28" s="284" t="s">
        <v>839</v>
      </c>
    </row>
    <row r="29" spans="1:25" ht="18">
      <c r="A29" s="482" t="s">
        <v>734</v>
      </c>
      <c r="B29" s="482"/>
      <c r="C29" s="482"/>
      <c r="D29" s="482"/>
      <c r="E29" s="482"/>
      <c r="F29" s="482"/>
      <c r="G29" s="482"/>
      <c r="H29" s="482"/>
      <c r="I29" s="482"/>
      <c r="J29" s="482"/>
      <c r="K29" s="482"/>
      <c r="L29" s="482"/>
      <c r="M29" s="482"/>
      <c r="N29" s="482"/>
      <c r="O29" s="482"/>
      <c r="P29" s="482"/>
    </row>
    <row r="30" spans="1:25" s="231" customFormat="1" ht="13">
      <c r="A30" s="232"/>
      <c r="B30" s="228"/>
      <c r="C30" s="228"/>
      <c r="D30" s="228"/>
      <c r="E30" s="228"/>
      <c r="F30" s="228"/>
      <c r="G30" s="228"/>
      <c r="H30" s="228"/>
      <c r="I30" s="228"/>
      <c r="J30" s="228"/>
      <c r="K30" s="228"/>
      <c r="L30" s="228"/>
      <c r="M30" s="228"/>
    </row>
    <row r="31" spans="1:25" ht="15.5">
      <c r="A31" s="481" t="s">
        <v>823</v>
      </c>
      <c r="B31" s="481"/>
      <c r="C31" s="481"/>
      <c r="D31" s="481"/>
      <c r="E31" s="481"/>
      <c r="F31" s="481"/>
      <c r="G31" s="481"/>
      <c r="H31" s="481"/>
      <c r="I31" s="481"/>
      <c r="J31" s="481"/>
      <c r="K31" s="481"/>
      <c r="L31" s="481"/>
      <c r="M31" s="481"/>
      <c r="N31" s="481"/>
      <c r="O31" s="481"/>
      <c r="P31" s="481"/>
      <c r="Q31" s="231"/>
      <c r="R31" s="332"/>
      <c r="S31" s="231"/>
      <c r="T31" s="231"/>
      <c r="U31" s="231"/>
      <c r="V31" s="231"/>
      <c r="W31" s="231"/>
      <c r="X31" s="231"/>
      <c r="Y31" s="231"/>
    </row>
    <row r="32" spans="1:25" s="231" customFormat="1" ht="9.75" customHeight="1">
      <c r="A32" s="232"/>
      <c r="B32" s="228"/>
      <c r="C32" s="228"/>
      <c r="D32" s="228"/>
      <c r="E32" s="228"/>
      <c r="F32" s="228"/>
      <c r="G32" s="228"/>
      <c r="H32" s="228"/>
      <c r="I32" s="228"/>
      <c r="J32" s="228"/>
      <c r="K32" s="228"/>
      <c r="L32" s="228"/>
      <c r="M32" s="228"/>
    </row>
    <row r="33" spans="1:39" s="332" customFormat="1" ht="18" customHeight="1">
      <c r="A33" s="366"/>
      <c r="B33" s="243" t="s">
        <v>565</v>
      </c>
      <c r="C33" s="243"/>
      <c r="D33" s="243"/>
      <c r="E33" s="243"/>
      <c r="F33" s="243"/>
      <c r="G33" s="243"/>
      <c r="H33" s="255"/>
      <c r="I33" s="254" t="s">
        <v>568</v>
      </c>
      <c r="J33" s="243"/>
      <c r="K33" s="243"/>
      <c r="L33" s="243"/>
      <c r="M33" s="243"/>
      <c r="N33" s="254" t="s">
        <v>584</v>
      </c>
      <c r="O33" s="243"/>
      <c r="P33" s="243"/>
      <c r="Q33" s="372" t="s">
        <v>743</v>
      </c>
      <c r="R33" s="373"/>
      <c r="S33" s="373"/>
    </row>
    <row r="34" spans="1:39" s="336" customFormat="1" ht="26.25" customHeight="1">
      <c r="A34" s="367"/>
      <c r="B34" s="249">
        <v>1</v>
      </c>
      <c r="C34" s="249">
        <v>2</v>
      </c>
      <c r="D34" s="249">
        <v>3</v>
      </c>
      <c r="E34" s="249">
        <v>4</v>
      </c>
      <c r="F34" s="249">
        <v>5</v>
      </c>
      <c r="G34" s="249">
        <v>6</v>
      </c>
      <c r="H34" s="368" t="s">
        <v>742</v>
      </c>
      <c r="I34" s="369" t="s">
        <v>732</v>
      </c>
      <c r="J34" s="249">
        <v>1</v>
      </c>
      <c r="K34" s="249">
        <v>2</v>
      </c>
      <c r="L34" s="249">
        <v>3</v>
      </c>
      <c r="M34" s="248" t="s">
        <v>733</v>
      </c>
      <c r="N34" s="248">
        <v>1</v>
      </c>
      <c r="O34" s="249">
        <v>2</v>
      </c>
      <c r="P34" s="248" t="s">
        <v>733</v>
      </c>
      <c r="Q34" s="372" t="s">
        <v>744</v>
      </c>
      <c r="R34" s="372" t="s">
        <v>745</v>
      </c>
      <c r="S34" s="372" t="s">
        <v>664</v>
      </c>
    </row>
    <row r="35" spans="1:39" ht="15.75" customHeight="1">
      <c r="A35" s="231" t="s">
        <v>666</v>
      </c>
      <c r="B35" s="337">
        <f>+'NEW...Tables 91-112'!D41</f>
        <v>14.852838265750027</v>
      </c>
      <c r="C35" s="337">
        <f>+'NEW...Tables 91-112'!D72</f>
        <v>14.60972461273666</v>
      </c>
      <c r="D35" s="337">
        <f>+'NEW...Tables 91-112'!D102</f>
        <v>27.722904824835048</v>
      </c>
      <c r="E35" s="337">
        <f>+'NEW...Tables 91-112'!D133</f>
        <v>20.719032129003079</v>
      </c>
      <c r="F35" s="337">
        <f>+'NEW...Tables 91-112'!D164</f>
        <v>22.124394892775399</v>
      </c>
      <c r="G35" s="337">
        <f>+'NEW...Tables 91-112'!D194</f>
        <v>82.032359227996821</v>
      </c>
      <c r="H35" s="342">
        <f>+'NEW...Tables 91-112'!D9</f>
        <v>19.408472423088686</v>
      </c>
      <c r="I35" s="339">
        <f>+'NEW...Tables 91-112'!D256</f>
        <v>0</v>
      </c>
      <c r="J35" s="337">
        <f>+'NEW...Tables 91-112'!D287</f>
        <v>36.055094130675535</v>
      </c>
      <c r="K35" s="337">
        <f>+'NEW...Tables 91-112'!D318</f>
        <v>27.190245254813497</v>
      </c>
      <c r="L35" s="337">
        <f>+'NEW...Tables 91-112'!D349</f>
        <v>37.064941052914698</v>
      </c>
      <c r="M35" s="339">
        <f>+'NEW...Tables 91-112'!D225</f>
        <v>30.940238040837169</v>
      </c>
      <c r="N35" s="340">
        <f>+'NEW...Tables 91-112'!D410</f>
        <v>14.764192435212125</v>
      </c>
      <c r="O35" s="266">
        <f>+'NEW...Tables 91-112'!D440</f>
        <v>11.96276183087665</v>
      </c>
      <c r="P35" s="339">
        <f>+'NEW...Tables 91-112'!D380</f>
        <v>13.351294549031884</v>
      </c>
      <c r="Q35" s="374">
        <f>+'NEW...Tables 87-90'!H35-'OLD...Tables'!H34</f>
        <v>2.6890143601918979</v>
      </c>
      <c r="R35" s="374">
        <f>+'NEW...Tables 87-90'!M35-'OLD...Tables'!M34</f>
        <v>1.9157408325711671</v>
      </c>
      <c r="S35" s="374">
        <f>+'NEW...Tables 87-90'!P35-'OLD...Tables'!P34</f>
        <v>2.41319150001606</v>
      </c>
      <c r="T35" s="266"/>
      <c r="U35" s="375"/>
      <c r="V35" s="375"/>
      <c r="W35" s="375"/>
      <c r="X35" s="231"/>
      <c r="Y35" s="266"/>
      <c r="Z35" s="266"/>
      <c r="AA35" s="266"/>
      <c r="AC35" s="231"/>
      <c r="AD35" s="266"/>
      <c r="AE35" s="266"/>
      <c r="AF35" s="266"/>
      <c r="AG35" s="375"/>
      <c r="AH35" s="375"/>
      <c r="AI35" s="375"/>
      <c r="AJ35" s="231"/>
      <c r="AK35" s="266"/>
      <c r="AL35" s="266"/>
      <c r="AM35" s="266"/>
    </row>
    <row r="36" spans="1:39" ht="15.75" customHeight="1">
      <c r="A36" s="231" t="s">
        <v>667</v>
      </c>
      <c r="B36" s="337">
        <f>+'NEW...Tables 91-112'!D42</f>
        <v>9.7309779608982723</v>
      </c>
      <c r="C36" s="337">
        <f>+'NEW...Tables 91-112'!D73</f>
        <v>42.145546168667558</v>
      </c>
      <c r="D36" s="337">
        <f>+'NEW...Tables 91-112'!D103</f>
        <v>23.369528562757132</v>
      </c>
      <c r="E36" s="337">
        <f>+'NEW...Tables 91-112'!D134</f>
        <v>20.645277882448841</v>
      </c>
      <c r="F36" s="337">
        <f>+'NEW...Tables 91-112'!D165</f>
        <v>0</v>
      </c>
      <c r="G36" s="337">
        <f>+'NEW...Tables 91-112'!D195</f>
        <v>24.998238909532784</v>
      </c>
      <c r="H36" s="342">
        <f>+'NEW...Tables 91-112'!D10</f>
        <v>20.397234002477184</v>
      </c>
      <c r="I36" s="339">
        <f>+'NEW...Tables 91-112'!D257</f>
        <v>0</v>
      </c>
      <c r="J36" s="337">
        <f>+'NEW...Tables 91-112'!D288</f>
        <v>30.760072770078654</v>
      </c>
      <c r="K36" s="337">
        <f>+'NEW...Tables 91-112'!D319</f>
        <v>31.541226294680289</v>
      </c>
      <c r="L36" s="337">
        <f>+'NEW...Tables 91-112'!D350</f>
        <v>30.608719171019491</v>
      </c>
      <c r="M36" s="339">
        <f>+'NEW...Tables 91-112'!D226</f>
        <v>30.821185161726071</v>
      </c>
      <c r="N36" s="340">
        <f>+'NEW...Tables 91-112'!D411</f>
        <v>0</v>
      </c>
      <c r="O36" s="266">
        <f>+'NEW...Tables 91-112'!D441</f>
        <v>0</v>
      </c>
      <c r="P36" s="339">
        <f>+'NEW...Tables 91-112'!D381</f>
        <v>0</v>
      </c>
      <c r="Q36" s="374">
        <f>+'NEW...Tables 87-90'!H36-'OLD...Tables'!H35</f>
        <v>0.99307496789039007</v>
      </c>
      <c r="R36" s="374">
        <f>+'NEW...Tables 87-90'!M36-'OLD...Tables'!M35</f>
        <v>3.4496111898504651</v>
      </c>
      <c r="S36" s="374">
        <f>+'NEW...Tables 87-90'!P36-'OLD...Tables'!P35</f>
        <v>0</v>
      </c>
      <c r="T36" s="266"/>
      <c r="U36" s="375"/>
      <c r="V36" s="375"/>
      <c r="W36" s="375"/>
      <c r="X36" s="231"/>
      <c r="Y36" s="266"/>
      <c r="Z36" s="266"/>
      <c r="AA36" s="266"/>
      <c r="AC36" s="231"/>
      <c r="AD36" s="266"/>
      <c r="AE36" s="266"/>
      <c r="AF36" s="266"/>
      <c r="AG36" s="375"/>
      <c r="AH36" s="375"/>
      <c r="AI36" s="375"/>
      <c r="AJ36" s="231"/>
      <c r="AK36" s="266"/>
      <c r="AL36" s="266"/>
      <c r="AM36" s="266"/>
    </row>
    <row r="37" spans="1:39" ht="15.75" customHeight="1">
      <c r="A37" s="231" t="s">
        <v>668</v>
      </c>
      <c r="B37" s="337">
        <f>+'NEW...Tables 91-112'!D43</f>
        <v>4.1687594173782019</v>
      </c>
      <c r="C37" s="337">
        <f>+'NEW...Tables 91-112'!D74</f>
        <v>0</v>
      </c>
      <c r="D37" s="337">
        <f>+'NEW...Tables 91-112'!D104</f>
        <v>11.831146427707223</v>
      </c>
      <c r="E37" s="337">
        <f>+'NEW...Tables 91-112'!D135</f>
        <v>0</v>
      </c>
      <c r="F37" s="337">
        <f>+'NEW...Tables 91-112'!D166</f>
        <v>0</v>
      </c>
      <c r="G37" s="337">
        <f>+'NEW...Tables 91-112'!D196</f>
        <v>0</v>
      </c>
      <c r="H37" s="342">
        <f>+'NEW...Tables 91-112'!D11</f>
        <v>5.5182691276625579</v>
      </c>
      <c r="I37" s="339">
        <f>+'NEW...Tables 91-112'!D258</f>
        <v>0</v>
      </c>
      <c r="J37" s="337">
        <f>+'NEW...Tables 91-112'!D289</f>
        <v>0</v>
      </c>
      <c r="K37" s="337">
        <f>+'NEW...Tables 91-112'!D320</f>
        <v>21.128847863826905</v>
      </c>
      <c r="L37" s="337">
        <f>+'NEW...Tables 91-112'!D351</f>
        <v>0</v>
      </c>
      <c r="M37" s="339">
        <f>+'NEW...Tables 91-112'!D227</f>
        <v>21.128847863826905</v>
      </c>
      <c r="N37" s="340">
        <f>+'NEW...Tables 91-112'!D412</f>
        <v>0</v>
      </c>
      <c r="O37" s="266">
        <f>+'NEW...Tables 91-112'!D442</f>
        <v>0</v>
      </c>
      <c r="P37" s="339">
        <f>+'NEW...Tables 91-112'!D382</f>
        <v>0</v>
      </c>
      <c r="Q37" s="374">
        <f>+'NEW...Tables 87-90'!H37-'OLD...Tables'!H36</f>
        <v>0.94033860310516548</v>
      </c>
      <c r="R37" s="374">
        <f>+'NEW...Tables 87-90'!M37-'OLD...Tables'!M36</f>
        <v>1.515268406842452</v>
      </c>
      <c r="S37" s="374">
        <f>+'NEW...Tables 87-90'!P37-'OLD...Tables'!P36</f>
        <v>0</v>
      </c>
      <c r="T37" s="266"/>
      <c r="U37" s="375"/>
      <c r="V37" s="376"/>
      <c r="W37" s="375"/>
      <c r="X37" s="231"/>
      <c r="Y37" s="266"/>
      <c r="Z37" s="266"/>
      <c r="AA37" s="266"/>
      <c r="AC37" s="231"/>
      <c r="AD37" s="266"/>
      <c r="AE37" s="266"/>
      <c r="AF37" s="266"/>
      <c r="AG37" s="375"/>
      <c r="AH37" s="375"/>
      <c r="AI37" s="375"/>
      <c r="AJ37" s="231"/>
      <c r="AK37" s="266"/>
      <c r="AL37" s="266"/>
      <c r="AM37" s="266"/>
    </row>
    <row r="38" spans="1:39" ht="15.75" customHeight="1">
      <c r="A38" s="231" t="s">
        <v>705</v>
      </c>
      <c r="B38" s="337">
        <f>+'NEW...Tables 91-112'!D44</f>
        <v>0</v>
      </c>
      <c r="C38" s="337">
        <f>+'NEW...Tables 91-112'!D75</f>
        <v>0</v>
      </c>
      <c r="D38" s="337">
        <f>+'NEW...Tables 91-112'!D105</f>
        <v>0</v>
      </c>
      <c r="E38" s="337">
        <f>+'NEW...Tables 91-112'!D136</f>
        <v>0</v>
      </c>
      <c r="F38" s="337">
        <f>+'NEW...Tables 91-112'!D167</f>
        <v>0</v>
      </c>
      <c r="G38" s="337">
        <f>+'NEW...Tables 91-112'!D197</f>
        <v>0</v>
      </c>
      <c r="H38" s="342">
        <f>+'NEW...Tables 91-112'!D12</f>
        <v>0</v>
      </c>
      <c r="I38" s="339">
        <f>+'NEW...Tables 91-112'!D259</f>
        <v>29.516995310762184</v>
      </c>
      <c r="J38" s="337">
        <f>+'NEW...Tables 91-112'!D290</f>
        <v>34.414412074138532</v>
      </c>
      <c r="K38" s="337">
        <f>+'NEW...Tables 91-112'!D321</f>
        <v>0</v>
      </c>
      <c r="L38" s="337">
        <f>+'NEW...Tables 91-112'!D352</f>
        <v>36.130953822311547</v>
      </c>
      <c r="M38" s="339">
        <f>+'NEW...Tables 91-112'!D228</f>
        <v>30.004198925471826</v>
      </c>
      <c r="N38" s="340">
        <f>+'NEW...Tables 91-112'!D413</f>
        <v>0</v>
      </c>
      <c r="O38" s="266">
        <f>+'NEW...Tables 91-112'!D443</f>
        <v>0</v>
      </c>
      <c r="P38" s="339">
        <f>+'NEW...Tables 91-112'!D383</f>
        <v>0</v>
      </c>
      <c r="Q38" s="374">
        <f>+'NEW...Tables 87-90'!H38-'OLD...Tables'!H37</f>
        <v>0</v>
      </c>
      <c r="R38" s="374">
        <f>+'NEW...Tables 87-90'!M38-'OLD...Tables'!M37</f>
        <v>1.694460137525482</v>
      </c>
      <c r="S38" s="374">
        <f>+'NEW...Tables 87-90'!P38-'OLD...Tables'!P37</f>
        <v>0</v>
      </c>
      <c r="T38" s="266"/>
      <c r="U38" s="375"/>
      <c r="V38" s="375"/>
      <c r="W38" s="375"/>
      <c r="X38" s="231"/>
      <c r="Y38" s="266"/>
      <c r="Z38" s="266"/>
      <c r="AA38" s="266"/>
      <c r="AC38" s="231"/>
      <c r="AD38" s="266"/>
      <c r="AE38" s="266"/>
      <c r="AF38" s="266"/>
      <c r="AG38" s="375"/>
      <c r="AH38" s="375"/>
      <c r="AI38" s="375"/>
      <c r="AJ38" s="231"/>
      <c r="AK38" s="266"/>
      <c r="AL38" s="266"/>
      <c r="AM38" s="266"/>
    </row>
    <row r="39" spans="1:39" ht="15.75" customHeight="1">
      <c r="A39" s="231"/>
      <c r="B39" s="337"/>
      <c r="C39" s="337"/>
      <c r="D39" s="337"/>
      <c r="E39" s="337"/>
      <c r="F39" s="337"/>
      <c r="G39" s="337"/>
      <c r="H39" s="342"/>
      <c r="I39" s="339"/>
      <c r="J39" s="337"/>
      <c r="K39" s="337"/>
      <c r="L39" s="337"/>
      <c r="M39" s="339"/>
      <c r="N39" s="340"/>
      <c r="O39" s="266"/>
      <c r="P39" s="339"/>
      <c r="Q39" s="374"/>
      <c r="R39" s="374"/>
      <c r="S39" s="374"/>
      <c r="T39" s="266"/>
      <c r="U39" s="375"/>
      <c r="V39" s="375"/>
      <c r="W39" s="375"/>
      <c r="X39" s="231"/>
      <c r="Y39" s="266"/>
      <c r="Z39" s="266"/>
      <c r="AA39" s="266"/>
      <c r="AC39" s="231"/>
      <c r="AD39" s="266"/>
      <c r="AE39" s="266"/>
      <c r="AF39" s="266"/>
      <c r="AG39" s="375"/>
      <c r="AH39" s="375"/>
      <c r="AI39" s="375"/>
      <c r="AJ39" s="231"/>
      <c r="AK39" s="266"/>
      <c r="AL39" s="266"/>
      <c r="AM39" s="266"/>
    </row>
    <row r="40" spans="1:39" ht="15.75" customHeight="1">
      <c r="A40" s="231" t="s">
        <v>670</v>
      </c>
      <c r="B40" s="337">
        <f>+'NEW...Tables 91-112'!D46</f>
        <v>14.263002329514885</v>
      </c>
      <c r="C40" s="337">
        <f>+'NEW...Tables 91-112'!D77</f>
        <v>2.4282682520829204</v>
      </c>
      <c r="D40" s="337">
        <f>+'NEW...Tables 91-112'!D107</f>
        <v>28.548967289305672</v>
      </c>
      <c r="E40" s="337">
        <f>+'NEW...Tables 91-112'!D138</f>
        <v>20.95865880083597</v>
      </c>
      <c r="F40" s="337">
        <f>+'NEW...Tables 91-112'!D169</f>
        <v>19.377967344733083</v>
      </c>
      <c r="G40" s="337">
        <f>+'NEW...Tables 91-112'!D199</f>
        <v>18.005057357978963</v>
      </c>
      <c r="H40" s="342">
        <f>+'NEW...Tables 91-112'!D14</f>
        <v>19.652153860172312</v>
      </c>
      <c r="I40" s="339">
        <f>+'NEW...Tables 91-112'!D261</f>
        <v>29.20272144791598</v>
      </c>
      <c r="J40" s="337">
        <f>+'NEW...Tables 91-112'!D292</f>
        <v>0</v>
      </c>
      <c r="K40" s="337">
        <f>+'NEW...Tables 91-112'!D323</f>
        <v>0</v>
      </c>
      <c r="L40" s="337">
        <f>+'NEW...Tables 91-112'!D354</f>
        <v>0</v>
      </c>
      <c r="M40" s="339">
        <f>+'NEW...Tables 91-112'!D230</f>
        <v>29.20272144791598</v>
      </c>
      <c r="N40" s="340">
        <f>+'NEW...Tables 91-112'!D415</f>
        <v>38.705955658847536</v>
      </c>
      <c r="O40" s="266">
        <f>+'NEW...Tables 91-112'!D445</f>
        <v>0</v>
      </c>
      <c r="P40" s="339">
        <f>+'NEW...Tables 91-112'!D385</f>
        <v>38.705955658847536</v>
      </c>
      <c r="Q40" s="374">
        <f>+'NEW...Tables 87-90'!H40-'OLD...Tables'!H39</f>
        <v>1.9987556270999569</v>
      </c>
      <c r="R40" s="374">
        <f>+'NEW...Tables 87-90'!M40-'OLD...Tables'!M39</f>
        <v>1.191290530758554</v>
      </c>
      <c r="S40" s="374">
        <f>+'NEW...Tables 87-90'!P40-'OLD...Tables'!P39</f>
        <v>2.162721975883116</v>
      </c>
      <c r="T40" s="266"/>
      <c r="U40" s="375"/>
      <c r="V40" s="375"/>
      <c r="W40" s="375"/>
      <c r="X40" s="231"/>
      <c r="Y40" s="266"/>
      <c r="Z40" s="266"/>
      <c r="AA40" s="266"/>
      <c r="AC40" s="231"/>
      <c r="AD40" s="266"/>
      <c r="AE40" s="266"/>
      <c r="AF40" s="266"/>
      <c r="AG40" s="375"/>
      <c r="AH40" s="375"/>
      <c r="AI40" s="375"/>
      <c r="AJ40" s="231"/>
      <c r="AK40" s="266"/>
      <c r="AL40" s="266"/>
      <c r="AM40" s="266"/>
    </row>
    <row r="41" spans="1:39" ht="15.75" customHeight="1">
      <c r="A41" s="231" t="s">
        <v>671</v>
      </c>
      <c r="B41" s="337">
        <f>+'NEW...Tables 91-112'!D47</f>
        <v>11.8465095941051</v>
      </c>
      <c r="C41" s="337">
        <f>+'NEW...Tables 91-112'!D78</f>
        <v>0</v>
      </c>
      <c r="D41" s="337">
        <f>+'NEW...Tables 91-112'!D108</f>
        <v>22.760618000906273</v>
      </c>
      <c r="E41" s="337">
        <f>+'NEW...Tables 91-112'!D139</f>
        <v>35.24766131633686</v>
      </c>
      <c r="F41" s="337">
        <f>+'NEW...Tables 91-112'!D170</f>
        <v>0</v>
      </c>
      <c r="G41" s="337">
        <f>+'NEW...Tables 91-112'!D200</f>
        <v>0</v>
      </c>
      <c r="H41" s="342">
        <f>+'NEW...Tables 91-112'!D15</f>
        <v>18.545158692086979</v>
      </c>
      <c r="I41" s="339">
        <f>+'NEW...Tables 91-112'!D262</f>
        <v>0</v>
      </c>
      <c r="J41" s="337">
        <f>+'NEW...Tables 91-112'!D293</f>
        <v>35.437770730639137</v>
      </c>
      <c r="K41" s="337">
        <f>+'NEW...Tables 91-112'!D324</f>
        <v>45.591757858577644</v>
      </c>
      <c r="L41" s="337">
        <f>+'NEW...Tables 91-112'!D355</f>
        <v>49.889201150199177</v>
      </c>
      <c r="M41" s="339">
        <f>+'NEW...Tables 91-112'!D231</f>
        <v>43.659194602530299</v>
      </c>
      <c r="N41" s="340">
        <f>+'NEW...Tables 91-112'!D416</f>
        <v>33.591485445695838</v>
      </c>
      <c r="O41" s="266">
        <f>+'NEW...Tables 91-112'!D446</f>
        <v>0</v>
      </c>
      <c r="P41" s="339">
        <f>+'NEW...Tables 91-112'!D386</f>
        <v>33.591485445695838</v>
      </c>
      <c r="Q41" s="374">
        <f>+'NEW...Tables 87-90'!H41-'OLD...Tables'!H40</f>
        <v>1.0947300458414446</v>
      </c>
      <c r="R41" s="374">
        <f>+'NEW...Tables 87-90'!M41-'OLD...Tables'!M40</f>
        <v>2.085381294671862E-2</v>
      </c>
      <c r="S41" s="374">
        <f>+'NEW...Tables 87-90'!P41-'OLD...Tables'!P40</f>
        <v>2.1733167218276321</v>
      </c>
      <c r="T41" s="266"/>
      <c r="U41" s="375"/>
      <c r="V41" s="375"/>
      <c r="W41" s="375"/>
      <c r="X41" s="231"/>
      <c r="Y41" s="266"/>
      <c r="Z41" s="266"/>
      <c r="AA41" s="266"/>
      <c r="AC41" s="231"/>
      <c r="AD41" s="266"/>
      <c r="AE41" s="266"/>
      <c r="AF41" s="266"/>
      <c r="AG41" s="375"/>
      <c r="AH41" s="375"/>
      <c r="AI41" s="375"/>
      <c r="AJ41" s="231"/>
      <c r="AK41" s="266"/>
      <c r="AL41" s="266"/>
      <c r="AM41" s="266"/>
    </row>
    <row r="42" spans="1:39" ht="15.75" customHeight="1">
      <c r="A42" s="231" t="s">
        <v>672</v>
      </c>
      <c r="B42" s="337">
        <f>+'NEW...Tables 91-112'!D48</f>
        <v>4.5956354300385174</v>
      </c>
      <c r="C42" s="337">
        <f>+'NEW...Tables 91-112'!D79</f>
        <v>14.040201333692389</v>
      </c>
      <c r="D42" s="337">
        <f>+'NEW...Tables 91-112'!D109</f>
        <v>19.950764345099021</v>
      </c>
      <c r="E42" s="337">
        <f>+'NEW...Tables 91-112'!D140</f>
        <v>28.593956753471122</v>
      </c>
      <c r="F42" s="337">
        <f>+'NEW...Tables 91-112'!D171</f>
        <v>30.27597402597403</v>
      </c>
      <c r="G42" s="337">
        <f>+'NEW...Tables 91-112'!D201</f>
        <v>41.73172462739528</v>
      </c>
      <c r="H42" s="342">
        <f>+'NEW...Tables 91-112'!D16</f>
        <v>17.185322235806392</v>
      </c>
      <c r="I42" s="339">
        <f>+'NEW...Tables 91-112'!D263</f>
        <v>0</v>
      </c>
      <c r="J42" s="337">
        <f>+'NEW...Tables 91-112'!D294</f>
        <v>21.06491795830209</v>
      </c>
      <c r="K42" s="337">
        <f>+'NEW...Tables 91-112'!D325</f>
        <v>28.746395062181968</v>
      </c>
      <c r="L42" s="337">
        <f>+'NEW...Tables 91-112'!D356</f>
        <v>28.710807800464604</v>
      </c>
      <c r="M42" s="339">
        <f>+'NEW...Tables 91-112'!D232</f>
        <v>25.496646637600289</v>
      </c>
      <c r="N42" s="340">
        <f>+'NEW...Tables 91-112'!D417</f>
        <v>22.043566966922803</v>
      </c>
      <c r="O42" s="266">
        <f>+'NEW...Tables 91-112'!D447</f>
        <v>0.60728744939271273</v>
      </c>
      <c r="P42" s="339">
        <f>+'NEW...Tables 91-112'!D387</f>
        <v>20.024245640566907</v>
      </c>
      <c r="Q42" s="374">
        <f>+'NEW...Tables 87-90'!H42-'OLD...Tables'!H41</f>
        <v>1.2321727212981397</v>
      </c>
      <c r="R42" s="374">
        <f>+'NEW...Tables 87-90'!M42-'OLD...Tables'!M41</f>
        <v>3.3686332402034793</v>
      </c>
      <c r="S42" s="374">
        <f>+'NEW...Tables 87-90'!P42-'OLD...Tables'!P41</f>
        <v>1.2332056150753381</v>
      </c>
      <c r="T42" s="266"/>
      <c r="U42" s="375"/>
      <c r="V42" s="375"/>
      <c r="W42" s="375"/>
      <c r="X42" s="231"/>
      <c r="Y42" s="266"/>
      <c r="Z42" s="266"/>
      <c r="AA42" s="266"/>
      <c r="AC42" s="231"/>
      <c r="AD42" s="266"/>
      <c r="AE42" s="266"/>
      <c r="AF42" s="266"/>
      <c r="AG42" s="375"/>
      <c r="AH42" s="375"/>
      <c r="AI42" s="375"/>
      <c r="AJ42" s="231"/>
      <c r="AK42" s="266"/>
      <c r="AL42" s="266"/>
      <c r="AM42" s="266"/>
    </row>
    <row r="43" spans="1:39" ht="15.75" customHeight="1">
      <c r="A43" s="231" t="s">
        <v>673</v>
      </c>
      <c r="B43" s="337">
        <f>+'NEW...Tables 91-112'!D49</f>
        <v>5.5420360325233089</v>
      </c>
      <c r="C43" s="337">
        <f>+'NEW...Tables 91-112'!D80</f>
        <v>13.280887410673026</v>
      </c>
      <c r="D43" s="337">
        <f>+'NEW...Tables 91-112'!D110</f>
        <v>13.654517159198839</v>
      </c>
      <c r="E43" s="337">
        <f>+'NEW...Tables 91-112'!D141</f>
        <v>18.293595580473639</v>
      </c>
      <c r="F43" s="337">
        <f>+'NEW...Tables 91-112'!D172</f>
        <v>20.217037799090697</v>
      </c>
      <c r="G43" s="337">
        <f>+'NEW...Tables 91-112'!D202</f>
        <v>0.49507063292219711</v>
      </c>
      <c r="H43" s="342">
        <f>+'NEW...Tables 91-112'!D17</f>
        <v>31.416449816656304</v>
      </c>
      <c r="I43" s="339">
        <f>+'NEW...Tables 91-112'!D264</f>
        <v>0</v>
      </c>
      <c r="J43" s="337">
        <f>+'NEW...Tables 91-112'!D295</f>
        <v>17.939454190785749</v>
      </c>
      <c r="K43" s="337">
        <f>+'NEW...Tables 91-112'!D326</f>
        <v>30.774617051831576</v>
      </c>
      <c r="L43" s="337">
        <f>+'NEW...Tables 91-112'!D357</f>
        <v>27.037439204313525</v>
      </c>
      <c r="M43" s="339">
        <f>+'NEW...Tables 91-112'!D233</f>
        <v>21.415191667269383</v>
      </c>
      <c r="N43" s="340">
        <f>+'NEW...Tables 91-112'!D418</f>
        <v>0</v>
      </c>
      <c r="O43" s="266">
        <f>+'NEW...Tables 91-112'!D448</f>
        <v>0</v>
      </c>
      <c r="P43" s="339">
        <f>+'NEW...Tables 91-112'!D388</f>
        <v>0</v>
      </c>
      <c r="Q43" s="374">
        <f>+'NEW...Tables 87-90'!H43-'OLD...Tables'!H42</f>
        <v>0.97346842931008837</v>
      </c>
      <c r="R43" s="374">
        <f>+'NEW...Tables 87-90'!M43-'OLD...Tables'!M42</f>
        <v>1.24946095596448</v>
      </c>
      <c r="S43" s="374">
        <f>+'NEW...Tables 87-90'!P43-'OLD...Tables'!P42</f>
        <v>0</v>
      </c>
      <c r="T43" s="266"/>
      <c r="U43" s="376"/>
      <c r="V43" s="375"/>
      <c r="W43" s="375"/>
      <c r="X43" s="231"/>
      <c r="Y43" s="266"/>
      <c r="Z43" s="266"/>
      <c r="AA43" s="266"/>
      <c r="AC43" s="231"/>
      <c r="AD43" s="266"/>
      <c r="AE43" s="266"/>
      <c r="AF43" s="266"/>
      <c r="AG43" s="375"/>
      <c r="AH43" s="375"/>
      <c r="AI43" s="375"/>
      <c r="AJ43" s="231"/>
      <c r="AK43" s="266"/>
      <c r="AL43" s="266"/>
      <c r="AM43" s="266"/>
    </row>
    <row r="44" spans="1:39" ht="15.75" customHeight="1">
      <c r="A44" s="231"/>
      <c r="B44" s="337"/>
      <c r="C44" s="337"/>
      <c r="D44" s="337"/>
      <c r="E44" s="337"/>
      <c r="F44" s="337"/>
      <c r="G44" s="337"/>
      <c r="H44" s="342"/>
      <c r="I44" s="339"/>
      <c r="J44" s="337"/>
      <c r="K44" s="337"/>
      <c r="L44" s="337"/>
      <c r="M44" s="339"/>
      <c r="N44" s="340"/>
      <c r="O44" s="266"/>
      <c r="P44" s="339"/>
      <c r="Q44" s="374"/>
      <c r="R44" s="374"/>
      <c r="S44" s="374"/>
      <c r="T44" s="266"/>
      <c r="U44" s="376"/>
      <c r="V44" s="375"/>
      <c r="W44" s="375"/>
      <c r="X44" s="231"/>
      <c r="Y44" s="266"/>
      <c r="Z44" s="266"/>
      <c r="AA44" s="266"/>
      <c r="AC44" s="231"/>
      <c r="AD44" s="266"/>
      <c r="AE44" s="266"/>
      <c r="AF44" s="266"/>
      <c r="AG44" s="375"/>
      <c r="AH44" s="375"/>
      <c r="AI44" s="375"/>
      <c r="AJ44" s="231"/>
      <c r="AK44" s="266"/>
      <c r="AL44" s="266"/>
      <c r="AM44" s="266"/>
    </row>
    <row r="45" spans="1:39" ht="15.75" customHeight="1">
      <c r="A45" s="231" t="s">
        <v>720</v>
      </c>
      <c r="B45" s="337">
        <f>+'NEW...Tables 91-112'!D51</f>
        <v>16.950602323757931</v>
      </c>
      <c r="C45" s="337">
        <f>+'NEW...Tables 91-112'!D82</f>
        <v>32.45485740001125</v>
      </c>
      <c r="D45" s="337">
        <f>+'NEW...Tables 91-112'!D112</f>
        <v>0</v>
      </c>
      <c r="E45" s="337">
        <f>+'NEW...Tables 91-112'!D143</f>
        <v>35.827713275786472</v>
      </c>
      <c r="F45" s="337">
        <f>+'NEW...Tables 91-112'!D174</f>
        <v>0</v>
      </c>
      <c r="G45" s="337">
        <f>+'NEW...Tables 91-112'!D204</f>
        <v>0</v>
      </c>
      <c r="H45" s="342">
        <f>+'NEW...Tables 91-112'!D19</f>
        <v>21.09396435588118</v>
      </c>
      <c r="I45" s="339">
        <f>+'NEW...Tables 91-112'!D266</f>
        <v>0</v>
      </c>
      <c r="J45" s="337">
        <f>+'NEW...Tables 91-112'!D297</f>
        <v>0</v>
      </c>
      <c r="K45" s="337">
        <f>+'NEW...Tables 91-112'!D328</f>
        <v>0</v>
      </c>
      <c r="L45" s="337">
        <f>+'NEW...Tables 91-112'!D359</f>
        <v>0</v>
      </c>
      <c r="M45" s="339">
        <f>+'NEW...Tables 91-112'!D235</f>
        <v>0</v>
      </c>
      <c r="N45" s="340">
        <f>+'NEW...Tables 91-112'!D420</f>
        <v>0</v>
      </c>
      <c r="O45" s="266">
        <f>+'NEW...Tables 91-112'!D450</f>
        <v>0</v>
      </c>
      <c r="P45" s="339">
        <f>+'NEW...Tables 91-112'!D390</f>
        <v>0</v>
      </c>
      <c r="Q45" s="374">
        <f>+'NEW...Tables 87-90'!H45-'OLD...Tables'!H44</f>
        <v>2.3025615445715069</v>
      </c>
      <c r="R45" s="374">
        <f>+'NEW...Tables 87-90'!M45-'OLD...Tables'!M44</f>
        <v>-27.216015052127201</v>
      </c>
      <c r="S45" s="374">
        <f>+'NEW...Tables 87-90'!P45-'OLD...Tables'!P44</f>
        <v>0</v>
      </c>
      <c r="T45" s="266"/>
      <c r="U45" s="375"/>
      <c r="V45" s="375"/>
      <c r="W45" s="375"/>
      <c r="X45" s="231"/>
      <c r="Y45" s="266"/>
      <c r="Z45" s="266"/>
      <c r="AA45" s="266"/>
      <c r="AC45" s="231"/>
      <c r="AD45" s="266"/>
      <c r="AE45" s="266"/>
      <c r="AF45" s="266"/>
      <c r="AG45" s="375"/>
      <c r="AH45" s="375"/>
      <c r="AI45" s="375"/>
      <c r="AJ45" s="231"/>
      <c r="AK45" s="266"/>
      <c r="AL45" s="266"/>
      <c r="AM45" s="266"/>
    </row>
    <row r="46" spans="1:39" ht="15.75" customHeight="1">
      <c r="A46" s="231" t="s">
        <v>675</v>
      </c>
      <c r="B46" s="337">
        <f>+'NEW...Tables 91-112'!D52</f>
        <v>14.982195412532562</v>
      </c>
      <c r="C46" s="337">
        <f>+'NEW...Tables 91-112'!D83</f>
        <v>23.226644542933869</v>
      </c>
      <c r="D46" s="337">
        <f>+'NEW...Tables 91-112'!D113</f>
        <v>17.977252358920179</v>
      </c>
      <c r="E46" s="337">
        <f>+'NEW...Tables 91-112'!D144</f>
        <v>44.958198714319018</v>
      </c>
      <c r="F46" s="337">
        <f>+'NEW...Tables 91-112'!D175</f>
        <v>29.235595179131582</v>
      </c>
      <c r="G46" s="337">
        <f>+'NEW...Tables 91-112'!D205</f>
        <v>8.8209997591770737</v>
      </c>
      <c r="H46" s="342">
        <f>+'NEW...Tables 91-112'!D20</f>
        <v>18.316124729979055</v>
      </c>
      <c r="I46" s="339">
        <f>+'NEW...Tables 91-112'!D267</f>
        <v>0</v>
      </c>
      <c r="J46" s="337">
        <f>+'NEW...Tables 91-112'!D298</f>
        <v>43.870623586243688</v>
      </c>
      <c r="K46" s="337">
        <f>+'NEW...Tables 91-112'!D329</f>
        <v>46.333463804149218</v>
      </c>
      <c r="L46" s="337">
        <f>+'NEW...Tables 91-112'!D360</f>
        <v>50.439942536565766</v>
      </c>
      <c r="M46" s="339">
        <f>+'NEW...Tables 91-112'!D236</f>
        <v>45.905558274976336</v>
      </c>
      <c r="N46" s="340">
        <f>+'NEW...Tables 91-112'!D421</f>
        <v>0</v>
      </c>
      <c r="O46" s="266">
        <f>+'NEW...Tables 91-112'!D451</f>
        <v>0</v>
      </c>
      <c r="P46" s="339">
        <f>+'NEW...Tables 91-112'!D391</f>
        <v>0</v>
      </c>
      <c r="Q46" s="374">
        <f>+'NEW...Tables 87-90'!H46-'OLD...Tables'!H45</f>
        <v>1.3510861422798754</v>
      </c>
      <c r="R46" s="374">
        <f>+'NEW...Tables 87-90'!M46-'OLD...Tables'!M45</f>
        <v>-2.1657329476630665</v>
      </c>
      <c r="S46" s="374">
        <f>+'NEW...Tables 87-90'!P46-'OLD...Tables'!P45</f>
        <v>0</v>
      </c>
      <c r="T46" s="266"/>
      <c r="U46" s="375"/>
      <c r="V46" s="375"/>
      <c r="W46" s="375"/>
      <c r="X46" s="231"/>
      <c r="Y46" s="266"/>
      <c r="Z46" s="266"/>
      <c r="AA46" s="266"/>
      <c r="AC46" s="231"/>
      <c r="AD46" s="266"/>
      <c r="AE46" s="266"/>
      <c r="AF46" s="266"/>
      <c r="AG46" s="375"/>
      <c r="AH46" s="375"/>
      <c r="AI46" s="375"/>
      <c r="AJ46" s="231"/>
      <c r="AK46" s="266"/>
      <c r="AL46" s="266"/>
      <c r="AM46" s="266"/>
    </row>
    <row r="47" spans="1:39" ht="15.75" customHeight="1">
      <c r="A47" s="231" t="s">
        <v>676</v>
      </c>
      <c r="B47" s="337">
        <f>+'NEW...Tables 91-112'!D53</f>
        <v>15.379339749861181</v>
      </c>
      <c r="C47" s="337">
        <f>+'NEW...Tables 91-112'!D84</f>
        <v>0</v>
      </c>
      <c r="D47" s="337">
        <f>+'NEW...Tables 91-112'!D114</f>
        <v>27.707652014717475</v>
      </c>
      <c r="E47" s="337">
        <f>+'NEW...Tables 91-112'!D145</f>
        <v>33.711317284175202</v>
      </c>
      <c r="F47" s="337">
        <f>+'NEW...Tables 91-112'!D176</f>
        <v>26.147272766673645</v>
      </c>
      <c r="G47" s="337">
        <f>+'NEW...Tables 91-112'!D206</f>
        <v>27.720592523473492</v>
      </c>
      <c r="H47" s="342">
        <f>+'NEW...Tables 91-112'!D21</f>
        <v>21.618484036892745</v>
      </c>
      <c r="I47" s="339">
        <f>+'NEW...Tables 91-112'!D268</f>
        <v>34.774677560248705</v>
      </c>
      <c r="J47" s="337">
        <f>+'NEW...Tables 91-112'!D299</f>
        <v>26.386399644243891</v>
      </c>
      <c r="K47" s="337">
        <f>+'NEW...Tables 91-112'!D330</f>
        <v>32.986806884325453</v>
      </c>
      <c r="L47" s="337">
        <f>+'NEW...Tables 91-112'!D361</f>
        <v>34.320001354073227</v>
      </c>
      <c r="M47" s="339">
        <f>+'NEW...Tables 91-112'!D237</f>
        <v>30.763674394398109</v>
      </c>
      <c r="N47" s="340">
        <f>+'NEW...Tables 91-112'!D422</f>
        <v>0</v>
      </c>
      <c r="O47" s="266">
        <f>+'NEW...Tables 91-112'!D452</f>
        <v>0</v>
      </c>
      <c r="P47" s="339">
        <f>+'NEW...Tables 91-112'!D392</f>
        <v>0</v>
      </c>
      <c r="Q47" s="374">
        <f>+'NEW...Tables 87-90'!H47-'OLD...Tables'!H46</f>
        <v>1.0987703172751111</v>
      </c>
      <c r="R47" s="374">
        <f>+'NEW...Tables 87-90'!M47-'OLD...Tables'!M46</f>
        <v>0.91438277877909613</v>
      </c>
      <c r="S47" s="374">
        <f>+'NEW...Tables 87-90'!P47-'OLD...Tables'!P46</f>
        <v>0</v>
      </c>
      <c r="T47" s="266"/>
      <c r="U47" s="375"/>
      <c r="V47" s="375"/>
      <c r="W47" s="375"/>
      <c r="X47" s="231"/>
      <c r="Y47" s="266"/>
      <c r="Z47" s="266"/>
      <c r="AA47" s="266"/>
      <c r="AC47" s="231"/>
      <c r="AD47" s="266"/>
      <c r="AE47" s="266"/>
      <c r="AF47" s="266"/>
      <c r="AG47" s="375"/>
      <c r="AH47" s="375"/>
      <c r="AI47" s="375"/>
      <c r="AJ47" s="231"/>
      <c r="AK47" s="266"/>
      <c r="AL47" s="266"/>
      <c r="AM47" s="266"/>
    </row>
    <row r="48" spans="1:39" ht="15.75" customHeight="1">
      <c r="A48" s="231" t="s">
        <v>677</v>
      </c>
      <c r="B48" s="337">
        <f>+'NEW...Tables 91-112'!D54</f>
        <v>11.420276620224557</v>
      </c>
      <c r="C48" s="337">
        <f>+'NEW...Tables 91-112'!D85</f>
        <v>0</v>
      </c>
      <c r="D48" s="337">
        <f>+'NEW...Tables 91-112'!D115</f>
        <v>9.8410147669896446</v>
      </c>
      <c r="E48" s="337">
        <f>+'NEW...Tables 91-112'!D146</f>
        <v>18.592978644408081</v>
      </c>
      <c r="F48" s="337">
        <f>+'NEW...Tables 91-112'!D177</f>
        <v>10.864157799813611</v>
      </c>
      <c r="G48" s="337">
        <f>+'NEW...Tables 91-112'!D207</f>
        <v>21.686920089950597</v>
      </c>
      <c r="H48" s="342">
        <f>+'NEW...Tables 91-112'!D22</f>
        <v>13.27344446241027</v>
      </c>
      <c r="I48" s="339">
        <f>+'NEW...Tables 91-112'!D269</f>
        <v>0</v>
      </c>
      <c r="J48" s="337">
        <f>+'NEW...Tables 91-112'!D300</f>
        <v>37.615452411035662</v>
      </c>
      <c r="K48" s="337">
        <f>+'NEW...Tables 91-112'!D331</f>
        <v>36.813806348430958</v>
      </c>
      <c r="L48" s="337">
        <f>+'NEW...Tables 91-112'!D362</f>
        <v>30.269640808071177</v>
      </c>
      <c r="M48" s="339">
        <f>+'NEW...Tables 91-112'!D238</f>
        <v>36.09037256500033</v>
      </c>
      <c r="N48" s="340">
        <f>+'NEW...Tables 91-112'!D423</f>
        <v>0</v>
      </c>
      <c r="O48" s="266">
        <f>+'NEW...Tables 91-112'!D453</f>
        <v>0</v>
      </c>
      <c r="P48" s="339">
        <f>+'NEW...Tables 91-112'!D393</f>
        <v>0</v>
      </c>
      <c r="Q48" s="374">
        <f>+'NEW...Tables 87-90'!H48-'OLD...Tables'!H47</f>
        <v>1.2669393322834814</v>
      </c>
      <c r="R48" s="374">
        <f>+'NEW...Tables 87-90'!M48-'OLD...Tables'!M47</f>
        <v>2.3380541042061083</v>
      </c>
      <c r="S48" s="374">
        <f>+'NEW...Tables 87-90'!P48-'OLD...Tables'!P47</f>
        <v>0</v>
      </c>
      <c r="T48" s="266"/>
      <c r="U48" s="375"/>
      <c r="V48" s="375"/>
      <c r="W48" s="375"/>
      <c r="X48" s="231"/>
      <c r="Y48" s="266"/>
      <c r="Z48" s="266"/>
      <c r="AA48" s="266"/>
    </row>
    <row r="49" spans="1:40" ht="15.75" customHeight="1">
      <c r="A49" s="231"/>
      <c r="B49" s="337"/>
      <c r="C49" s="337"/>
      <c r="D49" s="337"/>
      <c r="E49" s="337"/>
      <c r="F49" s="337"/>
      <c r="G49" s="337"/>
      <c r="H49" s="342"/>
      <c r="I49" s="339"/>
      <c r="J49" s="337"/>
      <c r="K49" s="337"/>
      <c r="L49" s="337"/>
      <c r="M49" s="339"/>
      <c r="N49" s="340"/>
      <c r="O49" s="266"/>
      <c r="P49" s="339"/>
      <c r="Q49" s="374"/>
      <c r="R49" s="374"/>
      <c r="S49" s="374"/>
      <c r="T49" s="266"/>
      <c r="U49" s="375"/>
      <c r="V49" s="375"/>
      <c r="W49" s="375"/>
      <c r="X49" s="231"/>
      <c r="Y49" s="266"/>
      <c r="Z49" s="266"/>
      <c r="AA49" s="266"/>
    </row>
    <row r="50" spans="1:40" ht="15.75" customHeight="1">
      <c r="A50" s="231" t="s">
        <v>678</v>
      </c>
      <c r="B50" s="337">
        <f>+'NEW...Tables 91-112'!D56</f>
        <v>16.528390977844765</v>
      </c>
      <c r="C50" s="337">
        <f>+'NEW...Tables 91-112'!D87</f>
        <v>23.879802994871707</v>
      </c>
      <c r="D50" s="337">
        <f>+'NEW...Tables 91-112'!D117</f>
        <v>30.362363460433926</v>
      </c>
      <c r="E50" s="337">
        <f>+'NEW...Tables 91-112'!D148</f>
        <v>0</v>
      </c>
      <c r="F50" s="337">
        <f>+'NEW...Tables 91-112'!D179</f>
        <v>17.585319735904033</v>
      </c>
      <c r="G50" s="337">
        <f>+'NEW...Tables 91-112'!D209</f>
        <v>0</v>
      </c>
      <c r="H50" s="342">
        <f>+'NEW...Tables 91-112'!D24</f>
        <v>22.613968669206905</v>
      </c>
      <c r="I50" s="339">
        <f>+'NEW...Tables 91-112'!D271</f>
        <v>0</v>
      </c>
      <c r="J50" s="337">
        <f>+'NEW...Tables 91-112'!D302</f>
        <v>29.667383440697577</v>
      </c>
      <c r="K50" s="337">
        <f>+'NEW...Tables 91-112'!D333</f>
        <v>32.782369500109262</v>
      </c>
      <c r="L50" s="337">
        <f>+'NEW...Tables 91-112'!D364</f>
        <v>31.877729257641924</v>
      </c>
      <c r="M50" s="339">
        <f>+'NEW...Tables 91-112'!D240</f>
        <v>31.153812839157041</v>
      </c>
      <c r="N50" s="340">
        <f>+'NEW...Tables 91-112'!D425</f>
        <v>0</v>
      </c>
      <c r="O50" s="266">
        <f>+'NEW...Tables 91-112'!D455</f>
        <v>0</v>
      </c>
      <c r="P50" s="339">
        <f>+'NEW...Tables 91-112'!D395</f>
        <v>0</v>
      </c>
      <c r="Q50" s="374">
        <f>+'NEW...Tables 87-90'!H50-'OLD...Tables'!H49</f>
        <v>1.2543919315524796</v>
      </c>
      <c r="R50" s="374">
        <f>+'NEW...Tables 87-90'!M50-'OLD...Tables'!M49</f>
        <v>2.1593351448828031</v>
      </c>
      <c r="S50" s="374">
        <f>+'NEW...Tables 87-90'!P50-'OLD...Tables'!P49</f>
        <v>0</v>
      </c>
      <c r="T50" s="266"/>
      <c r="U50" s="375"/>
      <c r="V50" s="375"/>
      <c r="W50" s="375"/>
      <c r="X50" s="231"/>
      <c r="Y50" s="266"/>
      <c r="Z50" s="266"/>
      <c r="AA50" s="266"/>
    </row>
    <row r="51" spans="1:40" s="278" customFormat="1" ht="16.5" customHeight="1">
      <c r="A51" s="231" t="s">
        <v>679</v>
      </c>
      <c r="B51" s="337">
        <f>+'NEW...Tables 91-112'!D57</f>
        <v>0</v>
      </c>
      <c r="C51" s="337">
        <f>+'NEW...Tables 91-112'!D88</f>
        <v>0</v>
      </c>
      <c r="D51" s="337">
        <f>+'NEW...Tables 91-112'!D118</f>
        <v>0</v>
      </c>
      <c r="E51" s="337">
        <f>+'NEW...Tables 91-112'!D149</f>
        <v>0</v>
      </c>
      <c r="F51" s="337">
        <f>+'NEW...Tables 91-112'!D180</f>
        <v>0</v>
      </c>
      <c r="G51" s="337">
        <f>+'NEW...Tables 91-112'!D210</f>
        <v>0</v>
      </c>
      <c r="H51" s="342">
        <f>+'NEW...Tables 91-112'!D25</f>
        <v>0</v>
      </c>
      <c r="I51" s="339">
        <f>+'NEW...Tables 91-112'!D272</f>
        <v>0</v>
      </c>
      <c r="J51" s="337">
        <f>+'NEW...Tables 91-112'!D303</f>
        <v>0</v>
      </c>
      <c r="K51" s="337">
        <f>+'NEW...Tables 91-112'!D334</f>
        <v>0</v>
      </c>
      <c r="L51" s="337">
        <f>+'NEW...Tables 91-112'!D365</f>
        <v>0</v>
      </c>
      <c r="M51" s="339">
        <f>+'NEW...Tables 91-112'!D241</f>
        <v>0</v>
      </c>
      <c r="N51" s="340">
        <f>+'NEW...Tables 91-112'!D426</f>
        <v>0</v>
      </c>
      <c r="O51" s="266">
        <f>+'NEW...Tables 91-112'!D456</f>
        <v>0</v>
      </c>
      <c r="P51" s="339">
        <f>+'NEW...Tables 91-112'!D396</f>
        <v>0</v>
      </c>
      <c r="Q51" s="374">
        <f>+'NEW...Tables 87-90'!H51-'OLD...Tables'!H50</f>
        <v>0</v>
      </c>
      <c r="R51" s="374">
        <f>+'NEW...Tables 87-90'!M51-'OLD...Tables'!M50</f>
        <v>0</v>
      </c>
      <c r="S51" s="374">
        <f>+'NEW...Tables 87-90'!P51-'OLD...Tables'!P50</f>
        <v>0</v>
      </c>
      <c r="T51" s="266"/>
      <c r="U51" s="375"/>
      <c r="V51" s="375"/>
      <c r="W51" s="375"/>
      <c r="X51" s="231"/>
      <c r="Y51" s="266"/>
      <c r="Z51" s="266"/>
      <c r="AA51" s="266"/>
      <c r="AB51" s="151"/>
      <c r="AC51" s="151"/>
      <c r="AD51" s="151"/>
      <c r="AE51" s="151"/>
      <c r="AF51" s="151"/>
      <c r="AG51" s="151"/>
      <c r="AH51" s="151"/>
      <c r="AI51" s="151"/>
      <c r="AJ51" s="151"/>
      <c r="AK51" s="151"/>
      <c r="AL51" s="151"/>
      <c r="AM51" s="151"/>
      <c r="AN51" s="151"/>
    </row>
    <row r="52" spans="1:40" s="278" customFormat="1" ht="14.25" customHeight="1">
      <c r="A52" s="231" t="s">
        <v>680</v>
      </c>
      <c r="B52" s="337">
        <f>+'NEW...Tables 91-112'!D58</f>
        <v>11.232588045928722</v>
      </c>
      <c r="C52" s="337">
        <f>+'NEW...Tables 91-112'!D89</f>
        <v>0.61256574356412263</v>
      </c>
      <c r="D52" s="337">
        <f>+'NEW...Tables 91-112'!D119</f>
        <v>9.9623832363835767</v>
      </c>
      <c r="E52" s="337">
        <f>+'NEW...Tables 91-112'!D150</f>
        <v>0</v>
      </c>
      <c r="F52" s="337">
        <f>+'NEW...Tables 91-112'!D181</f>
        <v>8.1480369663571847E-2</v>
      </c>
      <c r="G52" s="337">
        <f>+'NEW...Tables 91-112'!D211</f>
        <v>25.015283842794762</v>
      </c>
      <c r="H52" s="342">
        <f>+'NEW...Tables 91-112'!D26</f>
        <v>10.314340432620485</v>
      </c>
      <c r="I52" s="339">
        <f>+'NEW...Tables 91-112'!D273</f>
        <v>0</v>
      </c>
      <c r="J52" s="337">
        <f>+'NEW...Tables 91-112'!D304</f>
        <v>28.422225018393373</v>
      </c>
      <c r="K52" s="337">
        <f>+'NEW...Tables 91-112'!D335</f>
        <v>35.484872793310714</v>
      </c>
      <c r="L52" s="337">
        <f>+'NEW...Tables 91-112'!D366</f>
        <v>39.818584503143022</v>
      </c>
      <c r="M52" s="339">
        <f>+'NEW...Tables 91-112'!D242</f>
        <v>31.781551198095585</v>
      </c>
      <c r="N52" s="340">
        <f>+'NEW...Tables 91-112'!D427</f>
        <v>0</v>
      </c>
      <c r="O52" s="266">
        <f>+'NEW...Tables 91-112'!D457</f>
        <v>0</v>
      </c>
      <c r="P52" s="339">
        <f>+'NEW...Tables 91-112'!D397</f>
        <v>0</v>
      </c>
      <c r="Q52" s="374">
        <f>+'NEW...Tables 87-90'!H52-'OLD...Tables'!H51</f>
        <v>0.54359218523784136</v>
      </c>
      <c r="R52" s="374">
        <f>+'NEW...Tables 87-90'!M52-'OLD...Tables'!M51</f>
        <v>0.49681891649743903</v>
      </c>
      <c r="S52" s="374">
        <f>+'NEW...Tables 87-90'!P52-'OLD...Tables'!P51</f>
        <v>0</v>
      </c>
      <c r="T52" s="266"/>
      <c r="U52" s="375"/>
      <c r="V52" s="375"/>
      <c r="W52" s="375"/>
      <c r="X52" s="231"/>
      <c r="Y52" s="266"/>
      <c r="Z52" s="266"/>
      <c r="AA52" s="266"/>
      <c r="AB52" s="151"/>
      <c r="AC52" s="151"/>
      <c r="AD52" s="151"/>
      <c r="AE52" s="151"/>
      <c r="AF52" s="151"/>
      <c r="AG52" s="151"/>
      <c r="AH52" s="151"/>
      <c r="AI52" s="151"/>
      <c r="AJ52" s="151"/>
      <c r="AK52" s="151"/>
      <c r="AL52" s="151"/>
      <c r="AM52" s="151"/>
      <c r="AN52" s="151"/>
    </row>
    <row r="53" spans="1:40" s="278" customFormat="1" ht="15" customHeight="1">
      <c r="A53" s="231" t="s">
        <v>681</v>
      </c>
      <c r="B53" s="337">
        <f>+'NEW...Tables 91-112'!D59</f>
        <v>13.192172275444198</v>
      </c>
      <c r="C53" s="337">
        <f>+'NEW...Tables 91-112'!D90</f>
        <v>0</v>
      </c>
      <c r="D53" s="337">
        <f>+'NEW...Tables 91-112'!D120</f>
        <v>19.382364397701817</v>
      </c>
      <c r="E53" s="337">
        <f>+'NEW...Tables 91-112'!D151</f>
        <v>0</v>
      </c>
      <c r="F53" s="337">
        <f>+'NEW...Tables 91-112'!D182</f>
        <v>19.196359764043212</v>
      </c>
      <c r="G53" s="337">
        <f>+'NEW...Tables 91-112'!D212</f>
        <v>29.1915645431732</v>
      </c>
      <c r="H53" s="342">
        <f>+'NEW...Tables 91-112'!D27</f>
        <v>17.799558890804267</v>
      </c>
      <c r="I53" s="339">
        <f>+'NEW...Tables 91-112'!D274</f>
        <v>36.779535572208339</v>
      </c>
      <c r="J53" s="337">
        <f>+'NEW...Tables 91-112'!D305</f>
        <v>0</v>
      </c>
      <c r="K53" s="337">
        <f>+'NEW...Tables 91-112'!D336</f>
        <v>22.939331344197079</v>
      </c>
      <c r="L53" s="337">
        <f>+'NEW...Tables 91-112'!D367</f>
        <v>34.919583949660719</v>
      </c>
      <c r="M53" s="339">
        <f>+'NEW...Tables 91-112'!D243</f>
        <v>33.214084028268935</v>
      </c>
      <c r="N53" s="340">
        <f>+'NEW...Tables 91-112'!D428</f>
        <v>0</v>
      </c>
      <c r="O53" s="266">
        <f>+'NEW...Tables 91-112'!D458</f>
        <v>0</v>
      </c>
      <c r="P53" s="339">
        <f>+'NEW...Tables 91-112'!D398</f>
        <v>0</v>
      </c>
      <c r="Q53" s="374">
        <f>+'NEW...Tables 87-90'!H53-'OLD...Tables'!H52</f>
        <v>1.7136212180925341</v>
      </c>
      <c r="R53" s="374">
        <f>+'NEW...Tables 87-90'!M53-'OLD...Tables'!M52</f>
        <v>2.1267104835702497</v>
      </c>
      <c r="S53" s="374">
        <f>+'NEW...Tables 87-90'!P53-'OLD...Tables'!P52</f>
        <v>0</v>
      </c>
      <c r="T53" s="266"/>
      <c r="U53" s="375"/>
      <c r="V53" s="375"/>
      <c r="W53" s="375"/>
      <c r="X53" s="231"/>
      <c r="Y53" s="266"/>
      <c r="Z53" s="266"/>
      <c r="AA53" s="266"/>
      <c r="AB53" s="151"/>
      <c r="AC53" s="151"/>
      <c r="AD53" s="151"/>
      <c r="AE53" s="151"/>
      <c r="AF53" s="151"/>
      <c r="AG53" s="151"/>
      <c r="AH53" s="151"/>
      <c r="AI53" s="151"/>
      <c r="AJ53" s="151"/>
      <c r="AK53" s="151"/>
      <c r="AL53" s="151"/>
      <c r="AM53" s="151"/>
      <c r="AN53" s="151"/>
    </row>
    <row r="54" spans="1:40" s="278" customFormat="1" ht="28.5" customHeight="1">
      <c r="A54" s="486" t="s">
        <v>840</v>
      </c>
      <c r="B54" s="486"/>
      <c r="C54" s="486"/>
      <c r="D54" s="486"/>
      <c r="E54" s="486"/>
      <c r="F54" s="486"/>
      <c r="G54" s="486"/>
      <c r="H54" s="486"/>
      <c r="I54" s="486"/>
      <c r="J54" s="486"/>
      <c r="K54" s="486"/>
      <c r="L54" s="486"/>
      <c r="M54" s="486"/>
      <c r="N54" s="486"/>
      <c r="O54" s="486"/>
      <c r="P54" s="486"/>
    </row>
    <row r="55" spans="1:40" s="278" customFormat="1" ht="27" customHeight="1">
      <c r="A55" s="487" t="s">
        <v>735</v>
      </c>
      <c r="B55" s="488"/>
      <c r="C55" s="488"/>
      <c r="D55" s="488"/>
      <c r="E55" s="488"/>
      <c r="F55" s="488"/>
      <c r="G55" s="488"/>
      <c r="H55" s="488"/>
      <c r="I55" s="488"/>
      <c r="J55" s="488"/>
      <c r="K55" s="488"/>
      <c r="L55" s="488"/>
      <c r="M55" s="488"/>
      <c r="N55" s="488"/>
      <c r="O55" s="488"/>
      <c r="P55" s="488"/>
    </row>
    <row r="56" spans="1:40" s="231" customFormat="1" ht="3" customHeight="1">
      <c r="A56" s="277"/>
      <c r="B56" s="319"/>
      <c r="C56" s="319"/>
      <c r="D56" s="319"/>
      <c r="E56" s="319"/>
      <c r="F56" s="319"/>
      <c r="G56" s="319"/>
      <c r="H56" s="319"/>
      <c r="I56" s="319"/>
      <c r="J56" s="319"/>
      <c r="K56" s="319"/>
      <c r="L56" s="319"/>
      <c r="M56" s="319"/>
      <c r="N56" s="319"/>
      <c r="O56" s="319"/>
      <c r="P56" s="319"/>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row>
    <row r="57" spans="1:40">
      <c r="A57" s="278"/>
      <c r="B57" s="278"/>
      <c r="C57" s="278"/>
      <c r="D57" s="278"/>
      <c r="E57" s="278"/>
      <c r="F57" s="278"/>
      <c r="G57" s="278"/>
      <c r="H57" s="278"/>
      <c r="I57" s="278"/>
      <c r="J57" s="278"/>
      <c r="K57" s="278"/>
      <c r="L57" s="278"/>
      <c r="M57" s="348"/>
      <c r="N57" s="278"/>
      <c r="O57" s="278"/>
      <c r="P57" s="284" t="s">
        <v>839</v>
      </c>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row>
    <row r="58" spans="1:40" ht="18">
      <c r="A58" s="226" t="s">
        <v>736</v>
      </c>
      <c r="B58" s="227"/>
      <c r="C58" s="227"/>
      <c r="D58" s="227"/>
      <c r="E58" s="227"/>
      <c r="F58" s="227"/>
      <c r="G58" s="322"/>
      <c r="H58" s="322"/>
      <c r="I58" s="355" t="s">
        <v>581</v>
      </c>
      <c r="J58" s="355"/>
      <c r="K58" s="355"/>
      <c r="L58" s="355"/>
      <c r="M58" s="355"/>
    </row>
    <row r="59" spans="1:40" ht="9.75" customHeight="1">
      <c r="A59" s="232"/>
      <c r="B59" s="228"/>
      <c r="C59" s="228"/>
      <c r="D59" s="228"/>
      <c r="E59" s="228"/>
      <c r="F59" s="228"/>
      <c r="G59" s="228"/>
      <c r="H59" s="228"/>
      <c r="I59" s="357"/>
      <c r="J59" s="357"/>
      <c r="K59" s="357"/>
      <c r="L59" s="357"/>
      <c r="M59" s="357"/>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row>
    <row r="60" spans="1:40" ht="17.5">
      <c r="A60" s="234" t="s">
        <v>737</v>
      </c>
      <c r="B60" s="227"/>
      <c r="C60" s="227"/>
      <c r="D60" s="227"/>
      <c r="E60" s="227"/>
      <c r="F60" s="227"/>
      <c r="G60" s="322"/>
      <c r="H60" s="322"/>
      <c r="I60" s="355" t="s">
        <v>581</v>
      </c>
      <c r="J60" s="355"/>
      <c r="K60" s="355"/>
      <c r="L60" s="355"/>
      <c r="M60" s="355"/>
    </row>
    <row r="61" spans="1:40" s="332" customFormat="1" ht="15.5">
      <c r="A61" s="234" t="s">
        <v>738</v>
      </c>
      <c r="B61" s="228"/>
      <c r="C61" s="228"/>
      <c r="D61" s="228"/>
      <c r="E61" s="228"/>
      <c r="F61" s="228"/>
      <c r="G61" s="322"/>
      <c r="H61" s="322"/>
      <c r="I61" s="355" t="s">
        <v>581</v>
      </c>
      <c r="J61" s="355"/>
      <c r="K61" s="355"/>
      <c r="L61" s="355"/>
      <c r="M61" s="355"/>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row>
    <row r="62" spans="1:40" s="336" customFormat="1" ht="15.5">
      <c r="A62" s="234" t="s">
        <v>824</v>
      </c>
      <c r="B62" s="228"/>
      <c r="C62" s="228"/>
      <c r="D62" s="228"/>
      <c r="E62" s="228"/>
      <c r="F62" s="228"/>
      <c r="G62" s="322"/>
      <c r="H62" s="322"/>
      <c r="I62" s="355" t="s">
        <v>581</v>
      </c>
      <c r="J62" s="355"/>
      <c r="K62" s="355"/>
      <c r="L62" s="355"/>
      <c r="M62" s="355"/>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row>
    <row r="63" spans="1:40" ht="12" customHeight="1">
      <c r="A63" s="365"/>
      <c r="B63" s="326"/>
      <c r="C63" s="326"/>
      <c r="D63" s="326"/>
      <c r="E63" s="326"/>
      <c r="F63" s="326"/>
      <c r="G63" s="326"/>
      <c r="H63" s="326"/>
    </row>
    <row r="64" spans="1:40" ht="15.75" customHeight="1">
      <c r="A64" s="377"/>
      <c r="B64" s="243" t="s">
        <v>565</v>
      </c>
      <c r="C64" s="243"/>
      <c r="D64" s="243"/>
      <c r="E64" s="243"/>
      <c r="F64" s="243"/>
      <c r="G64" s="243"/>
      <c r="H64" s="243"/>
      <c r="I64" s="336" t="s">
        <v>581</v>
      </c>
      <c r="J64" s="336"/>
      <c r="K64" s="336"/>
      <c r="L64" s="336"/>
      <c r="M64" s="336"/>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row>
    <row r="65" spans="1:40" ht="15.75" customHeight="1">
      <c r="A65" s="378"/>
      <c r="B65" s="249">
        <v>1</v>
      </c>
      <c r="C65" s="249">
        <v>2</v>
      </c>
      <c r="D65" s="249">
        <v>3</v>
      </c>
      <c r="E65" s="249">
        <v>4</v>
      </c>
      <c r="F65" s="249">
        <v>5</v>
      </c>
      <c r="G65" s="249">
        <v>6</v>
      </c>
      <c r="H65" s="248" t="s">
        <v>742</v>
      </c>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row>
    <row r="66" spans="1:40" ht="15.75" customHeight="1">
      <c r="A66" s="231" t="s">
        <v>666</v>
      </c>
      <c r="B66" s="360">
        <f>+'NEW...Tables 91-112'!J41+'NEW...Tables 91-112'!K41</f>
        <v>73.860463716201465</v>
      </c>
      <c r="C66" s="360">
        <f>+'NEW...Tables 91-112'!J72+'NEW...Tables 91-112'!K72</f>
        <v>67.262516970420037</v>
      </c>
      <c r="D66" s="360">
        <f>+'NEW...Tables 91-112'!J102+'NEW...Tables 91-112'!K102</f>
        <v>40.074861625452947</v>
      </c>
      <c r="E66" s="360">
        <f>+'NEW...Tables 91-112'!J133+'NEW...Tables 91-112'!K133</f>
        <v>65.164343710650869</v>
      </c>
      <c r="F66" s="360">
        <f>+'NEW...Tables 91-112'!J164+'NEW...Tables 91-112'!K164</f>
        <v>7.987516869095816</v>
      </c>
      <c r="G66" s="360">
        <f>+'NEW...Tables 91-112'!J194+'NEW...Tables 91-112'!K194</f>
        <v>0.6211180124223602</v>
      </c>
      <c r="H66" s="341">
        <f>+'NEW...Tables 91-112'!J9+'NEW...Tables 91-112'!K9</f>
        <v>56.696922649751478</v>
      </c>
      <c r="I66" s="361"/>
      <c r="J66" s="361"/>
      <c r="K66" s="361"/>
      <c r="L66" s="361"/>
      <c r="M66" s="361"/>
    </row>
    <row r="67" spans="1:40" ht="15.75" customHeight="1">
      <c r="A67" s="231" t="s">
        <v>667</v>
      </c>
      <c r="B67" s="337">
        <f>+'NEW...Tables 91-112'!J42+'NEW...Tables 91-112'!K42</f>
        <v>67.304015296367112</v>
      </c>
      <c r="C67" s="337">
        <f>+'NEW...Tables 91-112'!J73+'NEW...Tables 91-112'!K73</f>
        <v>71.314029028908152</v>
      </c>
      <c r="D67" s="337">
        <f>+'NEW...Tables 91-112'!J103+'NEW...Tables 91-112'!K103</f>
        <v>30.049032122914173</v>
      </c>
      <c r="E67" s="337">
        <f>+'NEW...Tables 91-112'!J134+'NEW...Tables 91-112'!K134</f>
        <v>19.07626072366963</v>
      </c>
      <c r="F67" s="337">
        <f>+'NEW...Tables 91-112'!J165+'NEW...Tables 91-112'!K165</f>
        <v>0</v>
      </c>
      <c r="G67" s="337">
        <f>+'NEW...Tables 91-112'!J195+'NEW...Tables 91-112'!K195</f>
        <v>60.272684532204977</v>
      </c>
      <c r="H67" s="339">
        <f>+'NEW...Tables 91-112'!J10+'NEW...Tables 91-112'!K10</f>
        <v>51.914488694730693</v>
      </c>
      <c r="I67" s="361"/>
      <c r="J67" s="361"/>
      <c r="K67" s="361"/>
      <c r="L67" s="361"/>
      <c r="M67" s="361"/>
    </row>
    <row r="68" spans="1:40" ht="15.75" customHeight="1">
      <c r="A68" s="231" t="s">
        <v>668</v>
      </c>
      <c r="B68" s="337">
        <f>+'NEW...Tables 91-112'!J43+'NEW...Tables 91-112'!K43</f>
        <v>85.115691489361694</v>
      </c>
      <c r="C68" s="337">
        <f>+'NEW...Tables 91-112'!J74+'NEW...Tables 91-112'!K74</f>
        <v>0</v>
      </c>
      <c r="D68" s="337">
        <f>+'NEW...Tables 91-112'!J104+'NEW...Tables 91-112'!K104</f>
        <v>67.651525610934698</v>
      </c>
      <c r="E68" s="337">
        <f>+'NEW...Tables 91-112'!J135+'NEW...Tables 91-112'!K135</f>
        <v>0</v>
      </c>
      <c r="F68" s="337">
        <f>+'NEW...Tables 91-112'!J166+'NEW...Tables 91-112'!K166</f>
        <v>0</v>
      </c>
      <c r="G68" s="337">
        <f>+'NEW...Tables 91-112'!J196+'NEW...Tables 91-112'!K196</f>
        <v>0</v>
      </c>
      <c r="H68" s="339">
        <f>+'NEW...Tables 91-112'!J11+'NEW...Tables 91-112'!K11</f>
        <v>83.58138350132819</v>
      </c>
      <c r="I68" s="361"/>
      <c r="J68" s="361"/>
      <c r="K68" s="361"/>
      <c r="L68" s="361"/>
      <c r="M68" s="361"/>
    </row>
    <row r="69" spans="1:40" ht="15.75" customHeight="1">
      <c r="A69" s="231" t="s">
        <v>669</v>
      </c>
      <c r="B69" s="337">
        <f>+'NEW...Tables 91-112'!J44+'NEW...Tables 91-112'!K44</f>
        <v>0</v>
      </c>
      <c r="C69" s="337">
        <f>+'NEW...Tables 91-112'!J75+'NEW...Tables 91-112'!K75</f>
        <v>0</v>
      </c>
      <c r="D69" s="337">
        <f>+'NEW...Tables 91-112'!J105+'NEW...Tables 91-112'!K105</f>
        <v>0</v>
      </c>
      <c r="E69" s="337">
        <f>+'NEW...Tables 91-112'!J136+'NEW...Tables 91-112'!K136</f>
        <v>0</v>
      </c>
      <c r="F69" s="337">
        <f>+'NEW...Tables 91-112'!J167+'NEW...Tables 91-112'!K167</f>
        <v>0</v>
      </c>
      <c r="G69" s="337">
        <f>+'NEW...Tables 91-112'!J197+'NEW...Tables 91-112'!K197</f>
        <v>0</v>
      </c>
      <c r="H69" s="339">
        <f>+'NEW...Tables 91-112'!J12+'NEW...Tables 91-112'!K12</f>
        <v>0</v>
      </c>
      <c r="I69" s="361"/>
      <c r="J69" s="361"/>
      <c r="K69" s="361"/>
      <c r="L69" s="361"/>
      <c r="M69" s="361"/>
    </row>
    <row r="70" spans="1:40" ht="15.75" customHeight="1">
      <c r="A70" s="231"/>
      <c r="B70" s="337"/>
      <c r="C70" s="337"/>
      <c r="D70" s="337"/>
      <c r="E70" s="337"/>
      <c r="F70" s="337"/>
      <c r="G70" s="337"/>
      <c r="H70" s="339"/>
      <c r="I70" s="361"/>
      <c r="J70" s="361"/>
      <c r="K70" s="361"/>
      <c r="L70" s="361"/>
      <c r="M70" s="361"/>
    </row>
    <row r="71" spans="1:40" ht="15.75" customHeight="1">
      <c r="A71" s="231" t="s">
        <v>670</v>
      </c>
      <c r="B71" s="337">
        <f>+'NEW...Tables 91-112'!J46+'NEW...Tables 91-112'!K46</f>
        <v>93.069649063743228</v>
      </c>
      <c r="C71" s="337">
        <f>+'NEW...Tables 91-112'!J77+'NEW...Tables 91-112'!K77</f>
        <v>66.802294725669086</v>
      </c>
      <c r="D71" s="337">
        <f>+'NEW...Tables 91-112'!J107+'NEW...Tables 91-112'!K107</f>
        <v>30.345069696765776</v>
      </c>
      <c r="E71" s="337">
        <f>+'NEW...Tables 91-112'!J138+'NEW...Tables 91-112'!K138</f>
        <v>76.012680757890209</v>
      </c>
      <c r="F71" s="337">
        <f>+'NEW...Tables 91-112'!J169+'NEW...Tables 91-112'!K169</f>
        <v>80.766096169519159</v>
      </c>
      <c r="G71" s="337">
        <f>+'NEW...Tables 91-112'!J199+'NEW...Tables 91-112'!K199</f>
        <v>5.5133079847908739</v>
      </c>
      <c r="H71" s="339">
        <f>+'NEW...Tables 91-112'!J14+'NEW...Tables 91-112'!K14</f>
        <v>72.550546255370762</v>
      </c>
      <c r="I71" s="361"/>
      <c r="J71" s="361"/>
      <c r="K71" s="361"/>
      <c r="L71" s="361"/>
      <c r="M71" s="361"/>
    </row>
    <row r="72" spans="1:40" ht="15.75" customHeight="1">
      <c r="A72" s="231" t="s">
        <v>671</v>
      </c>
      <c r="B72" s="337">
        <f>+'NEW...Tables 91-112'!J47+'NEW...Tables 91-112'!K47</f>
        <v>72.696116235308637</v>
      </c>
      <c r="C72" s="337">
        <f>+'NEW...Tables 91-112'!J78+'NEW...Tables 91-112'!K78</f>
        <v>0</v>
      </c>
      <c r="D72" s="337">
        <f>+'NEW...Tables 91-112'!J108+'NEW...Tables 91-112'!K108</f>
        <v>39.920967392369292</v>
      </c>
      <c r="E72" s="337">
        <f>+'NEW...Tables 91-112'!J139+'NEW...Tables 91-112'!K139</f>
        <v>72.528433945756774</v>
      </c>
      <c r="F72" s="337">
        <f>+'NEW...Tables 91-112'!J170+'NEW...Tables 91-112'!K170</f>
        <v>0</v>
      </c>
      <c r="G72" s="337">
        <f>+'NEW...Tables 91-112'!J200+'NEW...Tables 91-112'!K200</f>
        <v>0</v>
      </c>
      <c r="H72" s="339">
        <f>+'NEW...Tables 91-112'!J15+'NEW...Tables 91-112'!K15</f>
        <v>56.080171938918333</v>
      </c>
      <c r="I72" s="361"/>
      <c r="J72" s="361"/>
      <c r="K72" s="361"/>
      <c r="L72" s="361"/>
      <c r="M72" s="361"/>
    </row>
    <row r="73" spans="1:40" ht="15.75" customHeight="1">
      <c r="A73" s="231" t="s">
        <v>672</v>
      </c>
      <c r="B73" s="337">
        <f>+'NEW...Tables 91-112'!J48+'NEW...Tables 91-112'!K48</f>
        <v>92.662514597119554</v>
      </c>
      <c r="C73" s="337">
        <f>+'NEW...Tables 91-112'!J79+'NEW...Tables 91-112'!K79</f>
        <v>79.261582929475878</v>
      </c>
      <c r="D73" s="337">
        <f>+'NEW...Tables 91-112'!J109+'NEW...Tables 91-112'!K109</f>
        <v>55.141201916664151</v>
      </c>
      <c r="E73" s="337">
        <f>+'NEW...Tables 91-112'!J140+'NEW...Tables 91-112'!K140</f>
        <v>31.247243681149843</v>
      </c>
      <c r="F73" s="337">
        <f>+'NEW...Tables 91-112'!J171+'NEW...Tables 91-112'!K171</f>
        <v>73.103448275862064</v>
      </c>
      <c r="G73" s="337">
        <f>+'NEW...Tables 91-112'!J201+'NEW...Tables 91-112'!K201</f>
        <v>0</v>
      </c>
      <c r="H73" s="339">
        <f>+'NEW...Tables 91-112'!J16+'NEW...Tables 91-112'!K16</f>
        <v>65.388391040216803</v>
      </c>
      <c r="I73" s="361"/>
      <c r="J73" s="361"/>
      <c r="K73" s="361"/>
      <c r="L73" s="361"/>
      <c r="M73" s="361"/>
    </row>
    <row r="74" spans="1:40" ht="15.75" customHeight="1">
      <c r="A74" s="231" t="s">
        <v>673</v>
      </c>
      <c r="B74" s="337">
        <f>+'NEW...Tables 91-112'!J49+'NEW...Tables 91-112'!K49</f>
        <v>87.018940843097724</v>
      </c>
      <c r="C74" s="337">
        <f>+'NEW...Tables 91-112'!J80+'NEW...Tables 91-112'!K80</f>
        <v>77.426302328711813</v>
      </c>
      <c r="D74" s="337">
        <f>+'NEW...Tables 91-112'!J110+'NEW...Tables 91-112'!K110</f>
        <v>75.401886891899025</v>
      </c>
      <c r="E74" s="337">
        <f>+'NEW...Tables 91-112'!J141+'NEW...Tables 91-112'!K141</f>
        <v>59.562804025360116</v>
      </c>
      <c r="F74" s="337">
        <f>+'NEW...Tables 91-112'!J172+'NEW...Tables 91-112'!K172</f>
        <v>86.408189936832926</v>
      </c>
      <c r="G74" s="337">
        <f>+'NEW...Tables 91-112'!J202+'NEW...Tables 91-112'!K202</f>
        <v>100</v>
      </c>
      <c r="H74" s="339">
        <f>+'NEW...Tables 91-112'!J17+'NEW...Tables 91-112'!K17</f>
        <v>52.784318439286565</v>
      </c>
      <c r="I74" s="361"/>
      <c r="J74" s="361"/>
      <c r="K74" s="361"/>
      <c r="L74" s="361"/>
      <c r="M74" s="361"/>
    </row>
    <row r="75" spans="1:40" ht="15.75" customHeight="1">
      <c r="A75" s="231"/>
      <c r="B75" s="337"/>
      <c r="C75" s="337"/>
      <c r="D75" s="337"/>
      <c r="E75" s="337"/>
      <c r="F75" s="337"/>
      <c r="G75" s="337"/>
      <c r="H75" s="339"/>
      <c r="I75" s="361"/>
      <c r="J75" s="361"/>
      <c r="K75" s="361"/>
      <c r="L75" s="361"/>
      <c r="M75" s="361"/>
    </row>
    <row r="76" spans="1:40" ht="15.75" customHeight="1">
      <c r="A76" s="231" t="s">
        <v>674</v>
      </c>
      <c r="B76" s="337">
        <f>+'NEW...Tables 91-112'!J51+'NEW...Tables 91-112'!K51</f>
        <v>75.614296567362388</v>
      </c>
      <c r="C76" s="337">
        <f>+'NEW...Tables 91-112'!J82+'NEW...Tables 91-112'!K82</f>
        <v>45.899707001650228</v>
      </c>
      <c r="D76" s="337">
        <f>+'NEW...Tables 91-112'!J112+'NEW...Tables 91-112'!K112</f>
        <v>0</v>
      </c>
      <c r="E76" s="337">
        <f>+'NEW...Tables 91-112'!J143+'NEW...Tables 91-112'!K143</f>
        <v>24.500075861022609</v>
      </c>
      <c r="F76" s="337">
        <f>+'NEW...Tables 91-112'!J174+'NEW...Tables 91-112'!K174</f>
        <v>0</v>
      </c>
      <c r="G76" s="337">
        <f>+'NEW...Tables 91-112'!J204+'NEW...Tables 91-112'!K204</f>
        <v>0</v>
      </c>
      <c r="H76" s="339">
        <f>+'NEW...Tables 91-112'!J19+'NEW...Tables 91-112'!K19</f>
        <v>64.69557301525856</v>
      </c>
      <c r="I76" s="361"/>
      <c r="J76" s="361"/>
      <c r="K76" s="361"/>
      <c r="L76" s="361"/>
      <c r="M76" s="361"/>
    </row>
    <row r="77" spans="1:40" ht="15.75" customHeight="1">
      <c r="A77" s="231" t="s">
        <v>675</v>
      </c>
      <c r="B77" s="337">
        <f>+'NEW...Tables 91-112'!J52+'NEW...Tables 91-112'!K52</f>
        <v>80.026308083014484</v>
      </c>
      <c r="C77" s="337">
        <f>+'NEW...Tables 91-112'!J83+'NEW...Tables 91-112'!K83</f>
        <v>37.831048918965415</v>
      </c>
      <c r="D77" s="337">
        <f>+'NEW...Tables 91-112'!J113+'NEW...Tables 91-112'!K113</f>
        <v>58.167644689909096</v>
      </c>
      <c r="E77" s="337">
        <f>+'NEW...Tables 91-112'!J144+'NEW...Tables 91-112'!K144</f>
        <v>33.289161668294042</v>
      </c>
      <c r="F77" s="337">
        <f>+'NEW...Tables 91-112'!J175+'NEW...Tables 91-112'!K175</f>
        <v>37.590405014464807</v>
      </c>
      <c r="G77" s="337">
        <f>+'NEW...Tables 91-112'!J205+'NEW...Tables 91-112'!K205</f>
        <v>42.470506592644</v>
      </c>
      <c r="H77" s="339">
        <f>+'NEW...Tables 91-112'!J20+'NEW...Tables 91-112'!K20</f>
        <v>68.600221079214052</v>
      </c>
      <c r="I77" s="361"/>
      <c r="J77" s="361"/>
      <c r="K77" s="361"/>
      <c r="L77" s="361"/>
      <c r="M77" s="361"/>
    </row>
    <row r="78" spans="1:40" ht="15.75" customHeight="1">
      <c r="A78" s="231" t="s">
        <v>676</v>
      </c>
      <c r="B78" s="337">
        <f>+'NEW...Tables 91-112'!J53+'NEW...Tables 91-112'!K53</f>
        <v>78.759129833166924</v>
      </c>
      <c r="C78" s="337">
        <f>+'NEW...Tables 91-112'!J84+'NEW...Tables 91-112'!K84</f>
        <v>0</v>
      </c>
      <c r="D78" s="337">
        <f>+'NEW...Tables 91-112'!J114+'NEW...Tables 91-112'!K114</f>
        <v>74.171451373340133</v>
      </c>
      <c r="E78" s="337">
        <f>+'NEW...Tables 91-112'!J145+'NEW...Tables 91-112'!K145</f>
        <v>21.889242832639056</v>
      </c>
      <c r="F78" s="337">
        <f>+'NEW...Tables 91-112'!J176+'NEW...Tables 91-112'!K176</f>
        <v>45.731707317073173</v>
      </c>
      <c r="G78" s="337">
        <f>+'NEW...Tables 91-112'!J206+'NEW...Tables 91-112'!K206</f>
        <v>94.029850746268664</v>
      </c>
      <c r="H78" s="339">
        <f>+'NEW...Tables 91-112'!J21+'NEW...Tables 91-112'!K21</f>
        <v>69.350176396950033</v>
      </c>
      <c r="I78" s="361"/>
      <c r="J78" s="361"/>
      <c r="K78" s="361"/>
      <c r="L78" s="361"/>
      <c r="M78" s="361"/>
    </row>
    <row r="79" spans="1:40" ht="15.75" customHeight="1">
      <c r="A79" s="231" t="s">
        <v>677</v>
      </c>
      <c r="B79" s="337">
        <f>+'NEW...Tables 91-112'!J54+'NEW...Tables 91-112'!K54</f>
        <v>75.881065358228909</v>
      </c>
      <c r="C79" s="337">
        <f>+'NEW...Tables 91-112'!J85+'NEW...Tables 91-112'!K85</f>
        <v>0</v>
      </c>
      <c r="D79" s="337">
        <f>+'NEW...Tables 91-112'!J115+'NEW...Tables 91-112'!K115</f>
        <v>59.031718746320671</v>
      </c>
      <c r="E79" s="337">
        <f>+'NEW...Tables 91-112'!J146+'NEW...Tables 91-112'!K146</f>
        <v>53.110938712179987</v>
      </c>
      <c r="F79" s="337">
        <f>+'NEW...Tables 91-112'!J177+'NEW...Tables 91-112'!K177</f>
        <v>69.273787019533714</v>
      </c>
      <c r="G79" s="337">
        <f>+'NEW...Tables 91-112'!J207+'NEW...Tables 91-112'!K207</f>
        <v>42.679127725856695</v>
      </c>
      <c r="H79" s="339">
        <f>+'NEW...Tables 91-112'!J22+'NEW...Tables 91-112'!K22</f>
        <v>71.553162959903588</v>
      </c>
      <c r="I79" s="361"/>
      <c r="J79" s="361"/>
      <c r="K79" s="361"/>
      <c r="L79" s="361"/>
      <c r="M79" s="361"/>
    </row>
    <row r="80" spans="1:40" ht="15.75" customHeight="1">
      <c r="A80" s="231"/>
      <c r="B80" s="337"/>
      <c r="C80" s="337"/>
      <c r="D80" s="337"/>
      <c r="E80" s="337"/>
      <c r="F80" s="337"/>
      <c r="G80" s="337"/>
      <c r="H80" s="339"/>
      <c r="I80" s="361"/>
      <c r="J80" s="361"/>
      <c r="K80" s="361"/>
      <c r="L80" s="361"/>
      <c r="M80" s="361"/>
    </row>
    <row r="81" spans="1:40" ht="15.75" customHeight="1">
      <c r="A81" s="231" t="s">
        <v>678</v>
      </c>
      <c r="B81" s="337">
        <f>+'NEW...Tables 91-112'!J56+'NEW...Tables 91-112'!K56</f>
        <v>66.615556085273056</v>
      </c>
      <c r="C81" s="337">
        <f>+'NEW...Tables 91-112'!J87+'NEW...Tables 91-112'!K87</f>
        <v>52.746744741505509</v>
      </c>
      <c r="D81" s="337">
        <f>+'NEW...Tables 91-112'!J117+'NEW...Tables 91-112'!K117</f>
        <v>38.793200314621892</v>
      </c>
      <c r="E81" s="337">
        <f>+'NEW...Tables 91-112'!J148+'NEW...Tables 91-112'!K148</f>
        <v>0</v>
      </c>
      <c r="F81" s="337">
        <f>+'NEW...Tables 91-112'!J179+'NEW...Tables 91-112'!K179</f>
        <v>9.6674057649667411</v>
      </c>
      <c r="G81" s="337">
        <f>+'NEW...Tables 91-112'!J209+'NEW...Tables 91-112'!K209</f>
        <v>0</v>
      </c>
      <c r="H81" s="339">
        <f>+'NEW...Tables 91-112'!J24+'NEW...Tables 91-112'!K24</f>
        <v>55.77011578328198</v>
      </c>
      <c r="I81" s="361"/>
      <c r="J81" s="361"/>
      <c r="K81" s="361"/>
      <c r="L81" s="361"/>
      <c r="M81" s="361"/>
    </row>
    <row r="82" spans="1:40" s="278" customFormat="1">
      <c r="A82" s="231" t="s">
        <v>679</v>
      </c>
      <c r="B82" s="337">
        <f>+'NEW...Tables 91-112'!J57+'NEW...Tables 91-112'!K57</f>
        <v>0</v>
      </c>
      <c r="C82" s="337">
        <f>+'NEW...Tables 91-112'!J88+'NEW...Tables 91-112'!K88</f>
        <v>0</v>
      </c>
      <c r="D82" s="337">
        <f>+'NEW...Tables 91-112'!J118+'NEW...Tables 91-112'!K118</f>
        <v>0</v>
      </c>
      <c r="E82" s="337">
        <f>+'NEW...Tables 91-112'!J149+'NEW...Tables 91-112'!K149</f>
        <v>0</v>
      </c>
      <c r="F82" s="337">
        <f>+'NEW...Tables 91-112'!J180+'NEW...Tables 91-112'!K180</f>
        <v>0</v>
      </c>
      <c r="G82" s="337">
        <f>+'NEW...Tables 91-112'!J210+'NEW...Tables 91-112'!K210</f>
        <v>0</v>
      </c>
      <c r="H82" s="339">
        <f>+'NEW...Tables 91-112'!J25+'NEW...Tables 91-112'!K25</f>
        <v>0</v>
      </c>
      <c r="I82" s="361"/>
      <c r="J82" s="361"/>
      <c r="K82" s="361"/>
      <c r="L82" s="361"/>
      <c r="M82" s="36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row>
    <row r="83" spans="1:40" s="278" customFormat="1">
      <c r="A83" s="231" t="s">
        <v>680</v>
      </c>
      <c r="B83" s="337">
        <f>+'NEW...Tables 91-112'!J58+'NEW...Tables 91-112'!K58</f>
        <v>83.122061028414322</v>
      </c>
      <c r="C83" s="337">
        <f>+'NEW...Tables 91-112'!J89+'NEW...Tables 91-112'!K89</f>
        <v>84.177606306577147</v>
      </c>
      <c r="D83" s="337">
        <f>+'NEW...Tables 91-112'!J119+'NEW...Tables 91-112'!K119</f>
        <v>68.004144567436427</v>
      </c>
      <c r="E83" s="337">
        <f>+'NEW...Tables 91-112'!J150+'NEW...Tables 91-112'!K150</f>
        <v>0</v>
      </c>
      <c r="F83" s="337">
        <f>+'NEW...Tables 91-112'!J181+'NEW...Tables 91-112'!K181</f>
        <v>100</v>
      </c>
      <c r="G83" s="337">
        <f>+'NEW...Tables 91-112'!J211+'NEW...Tables 91-112'!K211</f>
        <v>0</v>
      </c>
      <c r="H83" s="339">
        <f>+'NEW...Tables 91-112'!J26+'NEW...Tables 91-112'!K26</f>
        <v>81.558783663992045</v>
      </c>
      <c r="I83" s="361"/>
      <c r="J83" s="361"/>
      <c r="K83" s="361"/>
      <c r="L83" s="361"/>
      <c r="M83" s="36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row>
    <row r="84" spans="1:40" s="278" customFormat="1">
      <c r="A84" s="237" t="s">
        <v>681</v>
      </c>
      <c r="B84" s="343">
        <f>+'NEW...Tables 91-112'!J59+'NEW...Tables 91-112'!K59</f>
        <v>70.360806755530746</v>
      </c>
      <c r="C84" s="343">
        <f>+'NEW...Tables 91-112'!J90+'NEW...Tables 91-112'!K90</f>
        <v>0</v>
      </c>
      <c r="D84" s="343">
        <f>+'NEW...Tables 91-112'!J120+'NEW...Tables 91-112'!K120</f>
        <v>67.136150234741791</v>
      </c>
      <c r="E84" s="343">
        <f>+'NEW...Tables 91-112'!J151+'NEW...Tables 91-112'!K151</f>
        <v>0</v>
      </c>
      <c r="F84" s="343">
        <f>+'NEW...Tables 91-112'!J182+'NEW...Tables 91-112'!K182</f>
        <v>42.712980207024991</v>
      </c>
      <c r="G84" s="343">
        <f>+'NEW...Tables 91-112'!J212+'NEW...Tables 91-112'!K212</f>
        <v>74.080198429102936</v>
      </c>
      <c r="H84" s="345">
        <f>+'NEW...Tables 91-112'!J27+'NEW...Tables 91-112'!K27</f>
        <v>65.602967827702372</v>
      </c>
      <c r="I84" s="361"/>
      <c r="J84" s="361"/>
      <c r="K84" s="361"/>
      <c r="L84" s="361"/>
      <c r="M84" s="36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row>
    <row r="85" spans="1:40" s="231" customFormat="1" ht="40.5" customHeight="1">
      <c r="A85" s="489" t="s">
        <v>841</v>
      </c>
      <c r="B85" s="489"/>
      <c r="C85" s="489"/>
      <c r="D85" s="489"/>
      <c r="E85" s="489"/>
      <c r="F85" s="489"/>
      <c r="G85" s="489"/>
      <c r="H85" s="489"/>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row>
    <row r="86" spans="1:40">
      <c r="A86" s="278"/>
      <c r="B86" s="278"/>
      <c r="C86" s="278"/>
      <c r="D86" s="278"/>
      <c r="E86" s="278"/>
      <c r="F86" s="278"/>
      <c r="G86" s="278"/>
      <c r="H86" s="284" t="s">
        <v>839</v>
      </c>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row>
    <row r="87" spans="1:40" ht="18">
      <c r="A87" s="226" t="s">
        <v>739</v>
      </c>
      <c r="B87" s="227"/>
      <c r="C87" s="227"/>
      <c r="D87" s="227"/>
      <c r="E87" s="227"/>
      <c r="F87" s="227"/>
      <c r="G87" s="322"/>
      <c r="H87" s="322"/>
      <c r="I87" s="355" t="s">
        <v>581</v>
      </c>
      <c r="J87" s="355"/>
      <c r="K87" s="355"/>
      <c r="L87" s="355"/>
      <c r="M87" s="355"/>
    </row>
    <row r="88" spans="1:40">
      <c r="A88" s="232"/>
      <c r="B88" s="228"/>
      <c r="C88" s="228"/>
      <c r="D88" s="228"/>
      <c r="E88" s="228"/>
      <c r="F88" s="228"/>
      <c r="G88" s="228"/>
      <c r="H88" s="228"/>
      <c r="I88" s="357"/>
      <c r="J88" s="357"/>
      <c r="K88" s="357"/>
      <c r="L88" s="357"/>
      <c r="M88" s="357"/>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row>
    <row r="89" spans="1:40" s="336" customFormat="1" ht="17.5">
      <c r="A89" s="234" t="s">
        <v>740</v>
      </c>
      <c r="B89" s="227"/>
      <c r="C89" s="227"/>
      <c r="D89" s="227"/>
      <c r="E89" s="227"/>
      <c r="F89" s="227"/>
      <c r="G89" s="322"/>
      <c r="H89" s="322"/>
      <c r="I89" s="355" t="s">
        <v>581</v>
      </c>
      <c r="J89" s="355"/>
      <c r="K89" s="355"/>
      <c r="L89" s="355"/>
      <c r="M89" s="355"/>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row>
    <row r="90" spans="1:40" s="336" customFormat="1" ht="15.5">
      <c r="A90" s="234" t="s">
        <v>824</v>
      </c>
      <c r="B90" s="228"/>
      <c r="C90" s="228"/>
      <c r="D90" s="228"/>
      <c r="E90" s="228"/>
      <c r="F90" s="228"/>
      <c r="G90" s="322"/>
      <c r="H90" s="322"/>
      <c r="I90" s="355" t="s">
        <v>581</v>
      </c>
      <c r="J90" s="355"/>
      <c r="K90" s="355"/>
      <c r="L90" s="355"/>
      <c r="M90" s="355"/>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row>
    <row r="91" spans="1:40" ht="11.25" customHeight="1">
      <c r="A91" s="371"/>
      <c r="B91" s="357"/>
      <c r="C91" s="357"/>
      <c r="D91" s="357"/>
      <c r="E91" s="357"/>
      <c r="F91" s="357"/>
      <c r="G91" s="355"/>
      <c r="H91" s="355"/>
      <c r="I91" s="355"/>
      <c r="J91" s="355"/>
      <c r="K91" s="355"/>
      <c r="L91" s="355"/>
      <c r="M91" s="355"/>
    </row>
    <row r="92" spans="1:40" ht="15.75" customHeight="1">
      <c r="A92" s="367"/>
      <c r="B92" s="243" t="s">
        <v>565</v>
      </c>
      <c r="C92" s="243"/>
      <c r="D92" s="243"/>
      <c r="E92" s="243"/>
      <c r="F92" s="243"/>
      <c r="G92" s="243"/>
      <c r="H92" s="243"/>
      <c r="I92" s="336"/>
      <c r="J92" s="336"/>
      <c r="K92" s="336"/>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336"/>
      <c r="AI92" s="336"/>
      <c r="AJ92" s="336"/>
      <c r="AK92" s="336"/>
      <c r="AL92" s="336"/>
      <c r="AM92" s="336"/>
      <c r="AN92" s="336"/>
    </row>
    <row r="93" spans="1:40" ht="15.75" customHeight="1">
      <c r="A93" s="367"/>
      <c r="B93" s="249">
        <v>1</v>
      </c>
      <c r="C93" s="249">
        <v>2</v>
      </c>
      <c r="D93" s="249">
        <v>3</v>
      </c>
      <c r="E93" s="249">
        <v>4</v>
      </c>
      <c r="F93" s="249">
        <v>5</v>
      </c>
      <c r="G93" s="249">
        <v>6</v>
      </c>
      <c r="H93" s="248" t="s">
        <v>742</v>
      </c>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row>
    <row r="94" spans="1:40" ht="15.75" customHeight="1">
      <c r="A94" s="231" t="s">
        <v>666</v>
      </c>
      <c r="B94" s="360">
        <f>+'NEW...Tables 91-112'!L41</f>
        <v>26.139536283798527</v>
      </c>
      <c r="C94" s="360">
        <f>+'NEW...Tables 91-112'!L72</f>
        <v>32.737483029579955</v>
      </c>
      <c r="D94" s="360">
        <f>+'NEW...Tables 91-112'!L102</f>
        <v>59.925138374547046</v>
      </c>
      <c r="E94" s="360">
        <f>+'NEW...Tables 91-112'!L133</f>
        <v>34.835656289349139</v>
      </c>
      <c r="F94" s="360">
        <f>+'NEW...Tables 91-112'!L164</f>
        <v>92.012483130904187</v>
      </c>
      <c r="G94" s="360">
        <f>+'NEW...Tables 91-112'!L194</f>
        <v>99.378881987577643</v>
      </c>
      <c r="H94" s="341">
        <f>+'NEW...Tables 91-112'!L9</f>
        <v>43.303077350248529</v>
      </c>
      <c r="I94" s="361"/>
      <c r="J94" s="361"/>
      <c r="K94" s="361"/>
      <c r="L94" s="361"/>
      <c r="M94" s="361"/>
    </row>
    <row r="95" spans="1:40" ht="15.75" customHeight="1">
      <c r="A95" s="231" t="s">
        <v>667</v>
      </c>
      <c r="B95" s="337">
        <f>+'NEW...Tables 91-112'!L42</f>
        <v>32.695984703632888</v>
      </c>
      <c r="C95" s="337">
        <f>+'NEW...Tables 91-112'!L73</f>
        <v>28.685970971091844</v>
      </c>
      <c r="D95" s="337">
        <f>+'NEW...Tables 91-112'!L103</f>
        <v>69.95096787708583</v>
      </c>
      <c r="E95" s="337">
        <f>+'NEW...Tables 91-112'!L134</f>
        <v>80.923739276330366</v>
      </c>
      <c r="F95" s="337">
        <f>+'NEW...Tables 91-112'!L165</f>
        <v>0</v>
      </c>
      <c r="G95" s="337">
        <f>+'NEW...Tables 91-112'!L195</f>
        <v>39.727315467795016</v>
      </c>
      <c r="H95" s="339">
        <f>+'NEW...Tables 91-112'!L10</f>
        <v>48.0855113052693</v>
      </c>
      <c r="I95" s="361"/>
      <c r="J95" s="361"/>
      <c r="K95" s="361"/>
      <c r="L95" s="361"/>
      <c r="M95" s="361"/>
    </row>
    <row r="96" spans="1:40" ht="15.75" customHeight="1">
      <c r="A96" s="231" t="s">
        <v>668</v>
      </c>
      <c r="B96" s="337">
        <f>+'NEW...Tables 91-112'!L43</f>
        <v>14.884308510638297</v>
      </c>
      <c r="C96" s="337">
        <f>+'NEW...Tables 91-112'!L74</f>
        <v>0</v>
      </c>
      <c r="D96" s="337">
        <f>+'NEW...Tables 91-112'!L104</f>
        <v>32.348474389065309</v>
      </c>
      <c r="E96" s="337">
        <f>+'NEW...Tables 91-112'!L135</f>
        <v>0</v>
      </c>
      <c r="F96" s="337">
        <f>+'NEW...Tables 91-112'!L166</f>
        <v>0</v>
      </c>
      <c r="G96" s="337">
        <f>+'NEW...Tables 91-112'!L196</f>
        <v>0</v>
      </c>
      <c r="H96" s="339">
        <f>+'NEW...Tables 91-112'!L11</f>
        <v>16.41861649867181</v>
      </c>
      <c r="I96" s="361"/>
      <c r="J96" s="361"/>
      <c r="K96" s="361"/>
      <c r="L96" s="361"/>
      <c r="M96" s="361"/>
    </row>
    <row r="97" spans="1:40" ht="15.75" customHeight="1">
      <c r="A97" s="231" t="s">
        <v>705</v>
      </c>
      <c r="B97" s="337">
        <f>+'NEW...Tables 91-112'!L44</f>
        <v>0</v>
      </c>
      <c r="C97" s="337">
        <f>+'NEW...Tables 91-112'!L75</f>
        <v>0</v>
      </c>
      <c r="D97" s="337">
        <f>+'NEW...Tables 91-112'!L105</f>
        <v>0</v>
      </c>
      <c r="E97" s="337">
        <f>+'NEW...Tables 91-112'!L136</f>
        <v>0</v>
      </c>
      <c r="F97" s="337">
        <f>+'NEW...Tables 91-112'!L167</f>
        <v>0</v>
      </c>
      <c r="G97" s="337">
        <f>+'NEW...Tables 91-112'!L197</f>
        <v>0</v>
      </c>
      <c r="H97" s="339">
        <f>+'NEW...Tables 91-112'!L12</f>
        <v>0</v>
      </c>
      <c r="I97" s="361"/>
      <c r="J97" s="361"/>
      <c r="K97" s="361"/>
      <c r="L97" s="361"/>
      <c r="M97" s="361"/>
    </row>
    <row r="98" spans="1:40" ht="15.75" customHeight="1">
      <c r="A98" s="231"/>
      <c r="B98" s="337"/>
      <c r="C98" s="337"/>
      <c r="D98" s="337"/>
      <c r="E98" s="337"/>
      <c r="F98" s="337"/>
      <c r="G98" s="337"/>
      <c r="H98" s="339"/>
      <c r="I98" s="361"/>
      <c r="J98" s="361"/>
      <c r="K98" s="361"/>
      <c r="L98" s="361"/>
      <c r="M98" s="361"/>
    </row>
    <row r="99" spans="1:40" ht="15.75" customHeight="1">
      <c r="A99" s="231" t="s">
        <v>670</v>
      </c>
      <c r="B99" s="337">
        <f>+'NEW...Tables 91-112'!L46</f>
        <v>6.930350936256775</v>
      </c>
      <c r="C99" s="337">
        <f>+'NEW...Tables 91-112'!L77</f>
        <v>33.197705274330914</v>
      </c>
      <c r="D99" s="337">
        <f>+'NEW...Tables 91-112'!L107</f>
        <v>69.654930303234224</v>
      </c>
      <c r="E99" s="337">
        <f>+'NEW...Tables 91-112'!L138</f>
        <v>23.987319242109788</v>
      </c>
      <c r="F99" s="337">
        <f>+'NEW...Tables 91-112'!L169</f>
        <v>19.233903830480848</v>
      </c>
      <c r="G99" s="337">
        <f>+'NEW...Tables 91-112'!L199</f>
        <v>94.48669201520913</v>
      </c>
      <c r="H99" s="339">
        <f>+'NEW...Tables 91-112'!L14</f>
        <v>27.449453744629256</v>
      </c>
      <c r="I99" s="361"/>
      <c r="J99" s="361"/>
      <c r="K99" s="361"/>
      <c r="L99" s="361"/>
      <c r="M99" s="361"/>
    </row>
    <row r="100" spans="1:40" ht="15.75" customHeight="1">
      <c r="A100" s="231" t="s">
        <v>671</v>
      </c>
      <c r="B100" s="337">
        <f>+'NEW...Tables 91-112'!L47</f>
        <v>27.303883764691363</v>
      </c>
      <c r="C100" s="337">
        <f>+'NEW...Tables 91-112'!L78</f>
        <v>0</v>
      </c>
      <c r="D100" s="337">
        <f>+'NEW...Tables 91-112'!L108</f>
        <v>60.079032607630722</v>
      </c>
      <c r="E100" s="337">
        <f>+'NEW...Tables 91-112'!L139</f>
        <v>27.471566054243219</v>
      </c>
      <c r="F100" s="337">
        <f>+'NEW...Tables 91-112'!L170</f>
        <v>0</v>
      </c>
      <c r="G100" s="337">
        <f>+'NEW...Tables 91-112'!L200</f>
        <v>0</v>
      </c>
      <c r="H100" s="339">
        <f>+'NEW...Tables 91-112'!L15</f>
        <v>43.919828061081667</v>
      </c>
      <c r="I100" s="361"/>
      <c r="J100" s="361"/>
      <c r="K100" s="361"/>
      <c r="L100" s="361"/>
      <c r="M100" s="361"/>
    </row>
    <row r="101" spans="1:40" ht="15.75" customHeight="1">
      <c r="A101" s="231" t="s">
        <v>672</v>
      </c>
      <c r="B101" s="337">
        <f>+'NEW...Tables 91-112'!L48</f>
        <v>7.337485402880449</v>
      </c>
      <c r="C101" s="337">
        <f>+'NEW...Tables 91-112'!L79</f>
        <v>20.738417070524108</v>
      </c>
      <c r="D101" s="337">
        <f>+'NEW...Tables 91-112'!L109</f>
        <v>44.858798083335856</v>
      </c>
      <c r="E101" s="337">
        <f>+'NEW...Tables 91-112'!L140</f>
        <v>68.75275631885016</v>
      </c>
      <c r="F101" s="337">
        <f>+'NEW...Tables 91-112'!L171</f>
        <v>26.896551724137936</v>
      </c>
      <c r="G101" s="337">
        <f>+'NEW...Tables 91-112'!L201</f>
        <v>0</v>
      </c>
      <c r="H101" s="339">
        <f>+'NEW...Tables 91-112'!L16</f>
        <v>34.611608959783204</v>
      </c>
      <c r="I101" s="361"/>
      <c r="J101" s="361"/>
      <c r="K101" s="361"/>
      <c r="L101" s="361"/>
      <c r="M101" s="361"/>
    </row>
    <row r="102" spans="1:40" ht="15.75" customHeight="1">
      <c r="A102" s="231" t="s">
        <v>673</v>
      </c>
      <c r="B102" s="337">
        <f>+'NEW...Tables 91-112'!L49</f>
        <v>12.981059156902289</v>
      </c>
      <c r="C102" s="337">
        <f>+'NEW...Tables 91-112'!L80</f>
        <v>22.573697671288194</v>
      </c>
      <c r="D102" s="337">
        <f>+'NEW...Tables 91-112'!L110</f>
        <v>24.598113108100986</v>
      </c>
      <c r="E102" s="337">
        <f>+'NEW...Tables 91-112'!L141</f>
        <v>40.437195974639891</v>
      </c>
      <c r="F102" s="337">
        <f>+'NEW...Tables 91-112'!L172</f>
        <v>13.591810063167065</v>
      </c>
      <c r="G102" s="337">
        <f>+'NEW...Tables 91-112'!L202</f>
        <v>0</v>
      </c>
      <c r="H102" s="339">
        <f>+'NEW...Tables 91-112'!L17</f>
        <v>47.215681560713435</v>
      </c>
      <c r="I102" s="361"/>
      <c r="J102" s="361"/>
      <c r="K102" s="361"/>
      <c r="L102" s="361"/>
      <c r="M102" s="361"/>
    </row>
    <row r="103" spans="1:40" ht="15.75" customHeight="1">
      <c r="A103" s="231"/>
      <c r="B103" s="337"/>
      <c r="C103" s="337"/>
      <c r="D103" s="337"/>
      <c r="E103" s="337"/>
      <c r="F103" s="337"/>
      <c r="G103" s="337"/>
      <c r="H103" s="339"/>
      <c r="I103" s="361"/>
      <c r="J103" s="361"/>
      <c r="K103" s="361"/>
      <c r="L103" s="361"/>
      <c r="M103" s="361"/>
    </row>
    <row r="104" spans="1:40" ht="15.75" customHeight="1">
      <c r="A104" s="231" t="s">
        <v>674</v>
      </c>
      <c r="B104" s="337" t="s">
        <v>581</v>
      </c>
      <c r="C104" s="337">
        <f>+'NEW...Tables 91-112'!L82</f>
        <v>54.100292998349772</v>
      </c>
      <c r="D104" s="337">
        <f>+'NEW...Tables 91-112'!L112</f>
        <v>0</v>
      </c>
      <c r="E104" s="337">
        <f>+'NEW...Tables 91-112'!L143</f>
        <v>75.345167652859956</v>
      </c>
      <c r="F104" s="337">
        <f>+'NEW...Tables 91-112'!L174</f>
        <v>0</v>
      </c>
      <c r="G104" s="337">
        <f>+'NEW...Tables 91-112'!L204</f>
        <v>0</v>
      </c>
      <c r="H104" s="339">
        <f>+'NEW...Tables 91-112'!L19</f>
        <v>35.24699997022303</v>
      </c>
      <c r="I104" s="361"/>
      <c r="J104" s="361"/>
      <c r="K104" s="361"/>
      <c r="L104" s="361"/>
      <c r="M104" s="361"/>
    </row>
    <row r="105" spans="1:40" ht="15.75" customHeight="1">
      <c r="A105" s="231" t="s">
        <v>675</v>
      </c>
      <c r="B105" s="337">
        <f>+'NEW...Tables 91-112'!L52</f>
        <v>19.973691916985519</v>
      </c>
      <c r="C105" s="337">
        <f>+'NEW...Tables 91-112'!L83</f>
        <v>62.168951081034578</v>
      </c>
      <c r="D105" s="337">
        <f>+'NEW...Tables 91-112'!L113</f>
        <v>41.832355310090897</v>
      </c>
      <c r="E105" s="337">
        <f>+'NEW...Tables 91-112'!L144</f>
        <v>66.710838331705958</v>
      </c>
      <c r="F105" s="337">
        <f>+'NEW...Tables 91-112'!L175</f>
        <v>62.409594985535193</v>
      </c>
      <c r="G105" s="337">
        <f>+'NEW...Tables 91-112'!L205</f>
        <v>57.529493407356</v>
      </c>
      <c r="H105" s="339">
        <f>+'NEW...Tables 91-112'!L20</f>
        <v>31.399778920785941</v>
      </c>
      <c r="I105" s="361"/>
      <c r="J105" s="361"/>
      <c r="K105" s="361"/>
      <c r="L105" s="361"/>
      <c r="M105" s="361"/>
    </row>
    <row r="106" spans="1:40" ht="15.75" customHeight="1">
      <c r="A106" s="231" t="s">
        <v>676</v>
      </c>
      <c r="B106" s="337">
        <f>+'NEW...Tables 91-112'!L53</f>
        <v>21.240870166833069</v>
      </c>
      <c r="C106" s="337">
        <f>+'NEW...Tables 91-112'!L84</f>
        <v>0</v>
      </c>
      <c r="D106" s="337">
        <f>+'NEW...Tables 91-112'!L114</f>
        <v>25.82854862665987</v>
      </c>
      <c r="E106" s="337">
        <f>+'NEW...Tables 91-112'!L145</f>
        <v>78.110757167360944</v>
      </c>
      <c r="F106" s="337">
        <f>+'NEW...Tables 91-112'!L176</f>
        <v>54.268292682926834</v>
      </c>
      <c r="G106" s="337">
        <f>+'NEW...Tables 91-112'!L206</f>
        <v>5.9701492537313428</v>
      </c>
      <c r="H106" s="339">
        <f>+'NEW...Tables 91-112'!L21</f>
        <v>30.64982360304996</v>
      </c>
      <c r="I106" s="361"/>
      <c r="J106" s="361"/>
      <c r="K106" s="361"/>
      <c r="L106" s="361"/>
      <c r="M106" s="361"/>
    </row>
    <row r="107" spans="1:40" ht="15.75" customHeight="1">
      <c r="A107" s="231" t="s">
        <v>677</v>
      </c>
      <c r="B107" s="337">
        <f>+'NEW...Tables 91-112'!L54</f>
        <v>24.118934641771091</v>
      </c>
      <c r="C107" s="337">
        <f>+'NEW...Tables 91-112'!L85</f>
        <v>0</v>
      </c>
      <c r="D107" s="337">
        <f>+'NEW...Tables 91-112'!L115</f>
        <v>40.968281253679329</v>
      </c>
      <c r="E107" s="337">
        <f>+'NEW...Tables 91-112'!L146</f>
        <v>46.889061287820013</v>
      </c>
      <c r="F107" s="337">
        <f>+'NEW...Tables 91-112'!L177</f>
        <v>30.726212980466286</v>
      </c>
      <c r="G107" s="337">
        <f>+'NEW...Tables 91-112'!L207</f>
        <v>57.320872274143298</v>
      </c>
      <c r="H107" s="339">
        <f>+'NEW...Tables 91-112'!L22</f>
        <v>28.446837040096408</v>
      </c>
      <c r="I107" s="361"/>
      <c r="J107" s="361"/>
      <c r="K107" s="361"/>
      <c r="L107" s="361"/>
      <c r="M107" s="361"/>
    </row>
    <row r="108" spans="1:40" ht="15.75" customHeight="1">
      <c r="A108" s="231"/>
      <c r="B108" s="337"/>
      <c r="C108" s="337"/>
      <c r="D108" s="337"/>
      <c r="E108" s="337"/>
      <c r="F108" s="337"/>
      <c r="G108" s="337"/>
      <c r="H108" s="339"/>
      <c r="I108" s="361"/>
      <c r="J108" s="361"/>
      <c r="K108" s="361"/>
      <c r="L108" s="361"/>
      <c r="M108" s="361"/>
    </row>
    <row r="109" spans="1:40" ht="15.75" customHeight="1">
      <c r="A109" s="231" t="s">
        <v>678</v>
      </c>
      <c r="B109" s="337">
        <f>+'NEW...Tables 91-112'!L56</f>
        <v>29.920950399113512</v>
      </c>
      <c r="C109" s="337">
        <f>+'NEW...Tables 91-112'!L87</f>
        <v>42.849988442869254</v>
      </c>
      <c r="D109" s="337">
        <f>+'NEW...Tables 91-112'!L117</f>
        <v>58.689824550138852</v>
      </c>
      <c r="E109" s="337">
        <f>+'NEW...Tables 91-112'!L148</f>
        <v>0</v>
      </c>
      <c r="F109" s="337">
        <f>+'NEW...Tables 91-112'!L179</f>
        <v>90.332594235033255</v>
      </c>
      <c r="G109" s="337">
        <f>+'NEW...Tables 91-112'!L209</f>
        <v>0</v>
      </c>
      <c r="H109" s="339">
        <f>+'NEW...Tables 91-112'!L24</f>
        <v>40.720117764306814</v>
      </c>
      <c r="I109" s="361"/>
      <c r="J109" s="361"/>
      <c r="K109" s="361"/>
      <c r="L109" s="361"/>
      <c r="M109" s="361"/>
    </row>
    <row r="110" spans="1:40" ht="15.75" customHeight="1">
      <c r="A110" s="231" t="s">
        <v>679</v>
      </c>
      <c r="B110" s="337">
        <f>+'NEW...Tables 91-112'!L57</f>
        <v>0</v>
      </c>
      <c r="C110" s="337">
        <f>+'NEW...Tables 91-112'!L88</f>
        <v>0</v>
      </c>
      <c r="D110" s="337">
        <f>+'NEW...Tables 91-112'!L118</f>
        <v>0</v>
      </c>
      <c r="E110" s="337">
        <f>+'NEW...Tables 91-112'!L149</f>
        <v>0</v>
      </c>
      <c r="F110" s="337">
        <f>+'NEW...Tables 91-112'!L180</f>
        <v>0</v>
      </c>
      <c r="G110" s="337">
        <f>+'NEW...Tables 91-112'!L210</f>
        <v>0</v>
      </c>
      <c r="H110" s="339">
        <f>+'NEW...Tables 91-112'!L25</f>
        <v>0</v>
      </c>
      <c r="I110" s="361"/>
      <c r="J110" s="361"/>
      <c r="K110" s="361"/>
      <c r="L110" s="361"/>
      <c r="M110" s="361"/>
    </row>
    <row r="111" spans="1:40" s="278" customFormat="1" ht="15.75" customHeight="1">
      <c r="A111" s="231" t="s">
        <v>680</v>
      </c>
      <c r="B111" s="337">
        <f>+'NEW...Tables 91-112'!L58</f>
        <v>16.877938971585685</v>
      </c>
      <c r="C111" s="337">
        <f>+'NEW...Tables 91-112'!L89</f>
        <v>15.822393693422853</v>
      </c>
      <c r="D111" s="337">
        <f>+'NEW...Tables 91-112'!L119</f>
        <v>31.995855432563577</v>
      </c>
      <c r="E111" s="337">
        <f>+'NEW...Tables 91-112'!L150</f>
        <v>0</v>
      </c>
      <c r="F111" s="337">
        <f>+'NEW...Tables 91-112'!L181</f>
        <v>0</v>
      </c>
      <c r="G111" s="337">
        <f>+'NEW...Tables 91-112'!L211</f>
        <v>0</v>
      </c>
      <c r="H111" s="339">
        <f>+'NEW...Tables 91-112'!L26</f>
        <v>18.441216336007958</v>
      </c>
      <c r="I111" s="361"/>
      <c r="J111" s="361"/>
      <c r="K111" s="361"/>
      <c r="L111" s="361"/>
      <c r="M111" s="36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row>
    <row r="112" spans="1:40" s="278" customFormat="1" ht="13.5" customHeight="1">
      <c r="A112" s="231" t="s">
        <v>681</v>
      </c>
      <c r="B112" s="337">
        <f>+'NEW...Tables 91-112'!L59</f>
        <v>29.639193244469254</v>
      </c>
      <c r="C112" s="337">
        <f>+'NEW...Tables 91-112'!L90</f>
        <v>0</v>
      </c>
      <c r="D112" s="337">
        <f>+'NEW...Tables 91-112'!L120</f>
        <v>32.863849765258216</v>
      </c>
      <c r="E112" s="337">
        <f>+'NEW...Tables 91-112'!L151</f>
        <v>0</v>
      </c>
      <c r="F112" s="337">
        <f>+'NEW...Tables 91-112'!L182</f>
        <v>57.287019792975016</v>
      </c>
      <c r="G112" s="337">
        <f>+'NEW...Tables 91-112'!L212</f>
        <v>25.919801570897068</v>
      </c>
      <c r="H112" s="339">
        <f>+'NEW...Tables 91-112'!L27</f>
        <v>34.397032172297614</v>
      </c>
      <c r="I112" s="361"/>
      <c r="J112" s="361"/>
      <c r="K112" s="361"/>
      <c r="L112" s="361"/>
      <c r="M112" s="36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row>
    <row r="113" spans="1:40" s="278" customFormat="1" ht="49.5" customHeight="1">
      <c r="A113" s="486" t="s">
        <v>841</v>
      </c>
      <c r="B113" s="486"/>
      <c r="C113" s="486"/>
      <c r="D113" s="486"/>
      <c r="E113" s="486"/>
      <c r="F113" s="486"/>
      <c r="G113" s="486"/>
      <c r="H113" s="486"/>
      <c r="I113" s="282"/>
      <c r="J113" s="282"/>
      <c r="K113" s="282"/>
      <c r="L113" s="282"/>
      <c r="M113" s="282"/>
    </row>
    <row r="114" spans="1:40" ht="27" customHeight="1">
      <c r="A114" s="490" t="s">
        <v>741</v>
      </c>
      <c r="B114" s="491"/>
      <c r="C114" s="491"/>
      <c r="D114" s="491"/>
      <c r="E114" s="491"/>
      <c r="F114" s="491"/>
      <c r="G114" s="491"/>
      <c r="H114" s="491"/>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row>
    <row r="115" spans="1:40" ht="9.75" customHeight="1">
      <c r="A115" s="277"/>
      <c r="B115" s="319"/>
      <c r="C115" s="319"/>
      <c r="D115" s="319"/>
      <c r="E115" s="319"/>
      <c r="F115" s="319"/>
      <c r="G115" s="319"/>
      <c r="H115" s="319"/>
      <c r="I115" s="319"/>
      <c r="J115" s="319"/>
      <c r="K115" s="319"/>
      <c r="L115" s="319"/>
      <c r="M115" s="319"/>
      <c r="N115" s="319"/>
      <c r="O115" s="319"/>
      <c r="P115" s="319"/>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row>
    <row r="116" spans="1:40">
      <c r="A116" s="278"/>
      <c r="B116" s="278"/>
      <c r="C116" s="278"/>
      <c r="D116" s="278"/>
      <c r="E116" s="278"/>
      <c r="F116" s="278"/>
      <c r="G116" s="278"/>
      <c r="H116" s="284" t="s">
        <v>839</v>
      </c>
      <c r="I116" s="278"/>
      <c r="J116" s="278"/>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row>
  </sheetData>
  <mergeCells count="11">
    <mergeCell ref="A54:P54"/>
    <mergeCell ref="A55:P55"/>
    <mergeCell ref="A85:H85"/>
    <mergeCell ref="A113:H113"/>
    <mergeCell ref="A114:H114"/>
    <mergeCell ref="A31:P31"/>
    <mergeCell ref="A1:P1"/>
    <mergeCell ref="B5:H5"/>
    <mergeCell ref="I5:M5"/>
    <mergeCell ref="A26:P26"/>
    <mergeCell ref="A29:P29"/>
  </mergeCells>
  <pageMargins left="0.7" right="0.7" top="0.75" bottom="0.75" header="0.3" footer="0.3"/>
  <pageSetup firstPageNumber="96" orientation="landscape" useFirstPageNumber="1" r:id="rId1"/>
  <headerFooter>
    <oddHeader>&amp;R&amp;"Arial,Regular"&amp;8SREB-State Data Exchange</oddHeader>
    <oddFooter>&amp;C&amp;P</oddFooter>
  </headerFooter>
  <rowBreaks count="3" manualBreakCount="3">
    <brk id="28" max="15" man="1"/>
    <brk id="57" max="15" man="1"/>
    <brk id="86"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9E5D8-F005-4FD0-BADD-5CE62099FFE2}">
  <sheetPr>
    <tabColor theme="5" tint="0.59999389629810485"/>
  </sheetPr>
  <dimension ref="A1:P113"/>
  <sheetViews>
    <sheetView showZeros="0" view="pageBreakPreview" zoomScaleNormal="100" zoomScaleSheetLayoutView="100" workbookViewId="0">
      <selection activeCell="A111" sqref="A111:H111"/>
    </sheetView>
  </sheetViews>
  <sheetFormatPr defaultColWidth="8.84375" defaultRowHeight="14.5"/>
  <cols>
    <col min="1" max="1" width="9.84375" style="159" customWidth="1"/>
    <col min="2" max="8" width="5.69140625" style="159" customWidth="1"/>
    <col min="9" max="9" width="5.69140625" style="151" customWidth="1"/>
    <col min="10" max="16" width="5.69140625" style="159" customWidth="1"/>
    <col min="17" max="16384" width="8.84375" style="159"/>
  </cols>
  <sheetData>
    <row r="1" spans="1:16" ht="18">
      <c r="A1" s="320" t="s">
        <v>730</v>
      </c>
      <c r="B1" s="227"/>
      <c r="C1" s="227"/>
      <c r="D1" s="227"/>
      <c r="E1" s="227"/>
      <c r="F1" s="227"/>
      <c r="G1" s="321"/>
      <c r="H1" s="321"/>
      <c r="I1" s="322"/>
      <c r="J1" s="321"/>
      <c r="K1" s="321"/>
      <c r="L1" s="321"/>
      <c r="M1" s="321"/>
      <c r="N1" s="321"/>
      <c r="O1" s="321"/>
      <c r="P1" s="321"/>
    </row>
    <row r="2" spans="1:16" s="231" customFormat="1" ht="13">
      <c r="A2" s="232"/>
      <c r="B2" s="228"/>
      <c r="C2" s="228"/>
      <c r="D2" s="228"/>
      <c r="E2" s="228"/>
      <c r="F2" s="228"/>
      <c r="G2" s="228"/>
      <c r="H2" s="228"/>
      <c r="I2" s="228"/>
      <c r="J2" s="228"/>
      <c r="K2" s="228"/>
      <c r="L2" s="228"/>
      <c r="M2" s="228"/>
      <c r="N2" s="228"/>
      <c r="O2" s="228"/>
      <c r="P2" s="228"/>
    </row>
    <row r="3" spans="1:16" ht="15.5">
      <c r="A3" s="323" t="s">
        <v>779</v>
      </c>
      <c r="B3" s="228"/>
      <c r="C3" s="228"/>
      <c r="D3" s="228"/>
      <c r="E3" s="228"/>
      <c r="F3" s="228"/>
      <c r="G3" s="321"/>
      <c r="H3" s="321"/>
      <c r="I3" s="322"/>
      <c r="J3" s="321"/>
      <c r="K3" s="321"/>
      <c r="L3" s="321"/>
      <c r="M3" s="321"/>
      <c r="N3" s="321"/>
      <c r="O3" s="321"/>
      <c r="P3" s="321"/>
    </row>
    <row r="4" spans="1:16">
      <c r="A4" s="324"/>
      <c r="B4" s="325"/>
      <c r="C4" s="325"/>
      <c r="D4" s="325"/>
      <c r="E4" s="325"/>
      <c r="F4" s="325"/>
      <c r="G4" s="325"/>
      <c r="H4" s="325"/>
      <c r="I4" s="326"/>
      <c r="J4" s="325"/>
      <c r="K4" s="325"/>
      <c r="L4" s="325"/>
    </row>
    <row r="5" spans="1:16" s="332" customFormat="1" ht="18" customHeight="1">
      <c r="A5" s="327"/>
      <c r="B5" s="494" t="s">
        <v>565</v>
      </c>
      <c r="C5" s="494"/>
      <c r="D5" s="494"/>
      <c r="E5" s="494"/>
      <c r="F5" s="494"/>
      <c r="G5" s="494"/>
      <c r="H5" s="495"/>
      <c r="I5" s="496" t="s">
        <v>568</v>
      </c>
      <c r="J5" s="494"/>
      <c r="K5" s="494"/>
      <c r="L5" s="494"/>
      <c r="M5" s="494"/>
      <c r="N5" s="330" t="s">
        <v>584</v>
      </c>
      <c r="O5" s="331"/>
      <c r="P5" s="331"/>
    </row>
    <row r="6" spans="1:16" s="336" customFormat="1" ht="26">
      <c r="A6" s="333"/>
      <c r="B6" s="328">
        <v>1</v>
      </c>
      <c r="C6" s="328">
        <v>2</v>
      </c>
      <c r="D6" s="328">
        <v>3</v>
      </c>
      <c r="E6" s="328">
        <v>4</v>
      </c>
      <c r="F6" s="328">
        <v>5</v>
      </c>
      <c r="G6" s="328">
        <v>6</v>
      </c>
      <c r="H6" s="334" t="s">
        <v>731</v>
      </c>
      <c r="I6" s="335" t="s">
        <v>732</v>
      </c>
      <c r="J6" s="328">
        <v>1</v>
      </c>
      <c r="K6" s="328">
        <v>2</v>
      </c>
      <c r="L6" s="328">
        <v>3</v>
      </c>
      <c r="M6" s="329" t="s">
        <v>733</v>
      </c>
      <c r="N6" s="329">
        <v>1</v>
      </c>
      <c r="O6" s="328">
        <v>2</v>
      </c>
      <c r="P6" s="329" t="s">
        <v>733</v>
      </c>
    </row>
    <row r="7" spans="1:16" ht="15.75" customHeight="1">
      <c r="A7" s="231" t="s">
        <v>666</v>
      </c>
      <c r="B7" s="337">
        <f>+'OLD...Tabs'!B41+'OLD...Tabs'!C41</f>
        <v>87.579506354944101</v>
      </c>
      <c r="C7" s="337">
        <f>+'OLD...Tabs'!B72+'OLD...Tabs'!C72</f>
        <v>87.597198040941493</v>
      </c>
      <c r="D7" s="337">
        <f>+'OLD...Tabs'!B102+'OLD...Tabs'!C102</f>
        <v>75.489111697539613</v>
      </c>
      <c r="E7" s="337">
        <f>+'OLD...Tabs'!B133+'OLD...Tabs'!C133</f>
        <v>80.340732005222591</v>
      </c>
      <c r="F7" s="337">
        <f>+'OLD...Tabs'!B164+'OLD...Tabs'!C164</f>
        <v>85.384110413731264</v>
      </c>
      <c r="G7" s="337">
        <f>+'OLD...Tabs'!B194+'OLD...Tabs'!C194</f>
        <v>19.046819167455642</v>
      </c>
      <c r="H7" s="338">
        <f>+'OLD...Tabs'!B9+'OLD...Tabs'!C9</f>
        <v>83.280541937103223</v>
      </c>
      <c r="I7" s="339">
        <f>+'OLD...Tabs'!B256+'OLD...Tabs'!C256</f>
        <v>0</v>
      </c>
      <c r="J7" s="337">
        <f>+'OLD...Tabs'!B287+'OLD...Tabs'!C287</f>
        <v>64.209642325457111</v>
      </c>
      <c r="K7" s="337">
        <f>+'OLD...Tabs'!B318+'OLD...Tabs'!C318</f>
        <v>75.534643397328608</v>
      </c>
      <c r="L7" s="337">
        <f>+'OLD...Tabs'!B349+'OLD...Tabs'!C349</f>
        <v>64.13928119278718</v>
      </c>
      <c r="M7" s="339">
        <f>+'OLD...Tabs'!B225+'OLD...Tabs'!C225</f>
        <v>70.975502791733987</v>
      </c>
      <c r="N7" s="340">
        <f>+'OLD...Tabs'!B410+'OLD...Tabs'!C410</f>
        <v>91.378036280422393</v>
      </c>
      <c r="O7" s="266">
        <f>+'OLD...Tabs'!B440+'OLD...Tabs'!C440</f>
        <v>86.689778081589793</v>
      </c>
      <c r="P7" s="341">
        <f>+'OLD...Tabs'!B380+'OLD...Tabs'!C380</f>
        <v>89.061896950984178</v>
      </c>
    </row>
    <row r="8" spans="1:16" ht="15.75" customHeight="1">
      <c r="A8" s="231" t="s">
        <v>667</v>
      </c>
      <c r="B8" s="337">
        <f>+'OLD...Tabs'!B42+'OLD...Tabs'!C42</f>
        <v>90.411489562745828</v>
      </c>
      <c r="C8" s="337">
        <f>+'OLD...Tabs'!B73+'OLD...Tabs'!C73</f>
        <v>64.355547274902435</v>
      </c>
      <c r="D8" s="337">
        <f>+'OLD...Tabs'!B103+'OLD...Tabs'!C103</f>
        <v>77.763319833935213</v>
      </c>
      <c r="E8" s="337">
        <f>+'OLD...Tabs'!B134+'OLD...Tabs'!C134</f>
        <v>78.89303236949003</v>
      </c>
      <c r="F8" s="337">
        <f>+'OLD...Tabs'!B165+'OLD...Tabs'!C165</f>
        <v>0</v>
      </c>
      <c r="G8" s="337">
        <f>+'OLD...Tabs'!B195+'OLD...Tabs'!C195</f>
        <v>76.916607053824976</v>
      </c>
      <c r="H8" s="342">
        <f>+'OLD...Tabs'!B10+'OLD...Tabs'!C10</f>
        <v>80.360858790516389</v>
      </c>
      <c r="I8" s="339">
        <f>+'OLD...Tabs'!B257+'OLD...Tabs'!C257</f>
        <v>0</v>
      </c>
      <c r="J8" s="337">
        <f>+'OLD...Tabs'!B288+'OLD...Tabs'!C288</f>
        <v>71.295448424454619</v>
      </c>
      <c r="K8" s="337">
        <f>+'OLD...Tabs'!B319+'OLD...Tabs'!C319</f>
        <v>68.871236284126695</v>
      </c>
      <c r="L8" s="337">
        <f>+'OLD...Tabs'!B350+'OLD...Tabs'!C350</f>
        <v>73.950582806380623</v>
      </c>
      <c r="M8" s="339">
        <f>+'OLD...Tabs'!B226+'OLD...Tabs'!C226</f>
        <v>72.468551736921484</v>
      </c>
      <c r="N8" s="340">
        <f>+'OLD...Tabs'!B411+'OLD...Tabs'!C411</f>
        <v>0</v>
      </c>
      <c r="O8" s="266">
        <f>+'OLD...Tabs'!B441+'OLD...Tabs'!C441</f>
        <v>0</v>
      </c>
      <c r="P8" s="339">
        <f>+'OLD...Tabs'!B381+'OLD...Tabs'!C381</f>
        <v>0</v>
      </c>
    </row>
    <row r="9" spans="1:16" ht="15.75" customHeight="1">
      <c r="A9" s="231" t="s">
        <v>668</v>
      </c>
      <c r="B9" s="337">
        <f>+'OLD...Tabs'!B43+'OLD...Tabs'!C43</f>
        <v>96.130673743340353</v>
      </c>
      <c r="C9" s="337">
        <f>+'OLD...Tabs'!B74+'OLD...Tabs'!C74</f>
        <v>0</v>
      </c>
      <c r="D9" s="337">
        <f>+'OLD...Tabs'!B104+'OLD...Tabs'!C104</f>
        <v>92.338077300775353</v>
      </c>
      <c r="E9" s="337">
        <f>+'OLD...Tabs'!B135+'OLD...Tabs'!C135</f>
        <v>0</v>
      </c>
      <c r="F9" s="337">
        <f>+'OLD...Tabs'!B166+'OLD...Tabs'!C166</f>
        <v>0</v>
      </c>
      <c r="G9" s="337">
        <f>+'OLD...Tabs'!B196+'OLD...Tabs'!C196</f>
        <v>0</v>
      </c>
      <c r="H9" s="342">
        <f>+'OLD...Tabs'!B11+'OLD...Tabs'!C11</f>
        <v>95.422069475442612</v>
      </c>
      <c r="I9" s="339">
        <f>+'OLD...Tabs'!B258+'OLD...Tabs'!C258</f>
        <v>0</v>
      </c>
      <c r="J9" s="337">
        <f>+'OLD...Tabs'!B289+'OLD...Tabs'!C289</f>
        <v>0</v>
      </c>
      <c r="K9" s="337">
        <f>+'OLD...Tabs'!B320+'OLD...Tabs'!C320</f>
        <v>80.386420543015547</v>
      </c>
      <c r="L9" s="337">
        <f>+'OLD...Tabs'!B351+'OLD...Tabs'!C351</f>
        <v>0</v>
      </c>
      <c r="M9" s="339">
        <f>+'OLD...Tabs'!B227+'OLD...Tabs'!C227</f>
        <v>80.386420543015547</v>
      </c>
      <c r="N9" s="340">
        <f>+'OLD...Tabs'!B412+'OLD...Tabs'!C412</f>
        <v>0</v>
      </c>
      <c r="O9" s="266">
        <f>+'OLD...Tabs'!B442+'OLD...Tabs'!C442</f>
        <v>0</v>
      </c>
      <c r="P9" s="339">
        <f>+'OLD...Tabs'!B382+'OLD...Tabs'!C382</f>
        <v>0</v>
      </c>
    </row>
    <row r="10" spans="1:16" ht="15.75" customHeight="1">
      <c r="A10" s="231" t="s">
        <v>669</v>
      </c>
      <c r="B10" s="337">
        <f>+'OLD...Tabs'!B44+'OLD...Tabs'!C44</f>
        <v>0</v>
      </c>
      <c r="C10" s="337">
        <f>+'OLD...Tabs'!B75+'OLD...Tabs'!C75</f>
        <v>0</v>
      </c>
      <c r="D10" s="337">
        <f>+'OLD...Tabs'!B105+'OLD...Tabs'!C105</f>
        <v>0</v>
      </c>
      <c r="E10" s="337">
        <f>+'OLD...Tabs'!B136+'OLD...Tabs'!C136</f>
        <v>0</v>
      </c>
      <c r="F10" s="337">
        <f>+'OLD...Tabs'!B167+'OLD...Tabs'!C167</f>
        <v>0</v>
      </c>
      <c r="G10" s="337">
        <f>+'OLD...Tabs'!B197+'OLD...Tabs'!C197</f>
        <v>0</v>
      </c>
      <c r="H10" s="342">
        <f>+'OLD...Tabs'!B12+'OLD...Tabs'!C12</f>
        <v>0</v>
      </c>
      <c r="I10" s="339">
        <f>+'OLD...Tabs'!B259+'OLD...Tabs'!C259</f>
        <v>71.918859042053597</v>
      </c>
      <c r="J10" s="337">
        <f>+'OLD...Tabs'!B290+'OLD...Tabs'!C290</f>
        <v>69.372932530086274</v>
      </c>
      <c r="K10" s="337">
        <f>+'OLD...Tabs'!B321+'OLD...Tabs'!C321</f>
        <v>0</v>
      </c>
      <c r="L10" s="337">
        <f>+'OLD...Tabs'!B352+'OLD...Tabs'!C352</f>
        <v>66.427322972270773</v>
      </c>
      <c r="M10" s="339">
        <f>+'OLD...Tabs'!B228+'OLD...Tabs'!C228</f>
        <v>71.655960115907064</v>
      </c>
      <c r="N10" s="340">
        <f>+'OLD...Tabs'!B413+'OLD...Tabs'!C413</f>
        <v>0</v>
      </c>
      <c r="O10" s="266">
        <f>+'OLD...Tabs'!B443+'OLD...Tabs'!C443</f>
        <v>0</v>
      </c>
      <c r="P10" s="339">
        <f>+'OLD...Tabs'!B383+'OLD...Tabs'!C383</f>
        <v>0</v>
      </c>
    </row>
    <row r="11" spans="1:16" ht="15.75" customHeight="1">
      <c r="A11" s="231"/>
      <c r="B11" s="337"/>
      <c r="C11" s="337"/>
      <c r="D11" s="337"/>
      <c r="E11" s="337"/>
      <c r="F11" s="337"/>
      <c r="G11" s="337"/>
      <c r="H11" s="342"/>
      <c r="I11" s="339"/>
      <c r="J11" s="337"/>
      <c r="K11" s="337"/>
      <c r="L11" s="337"/>
      <c r="M11" s="339"/>
      <c r="N11" s="340"/>
      <c r="O11" s="266"/>
      <c r="P11" s="339"/>
    </row>
    <row r="12" spans="1:16" ht="15.75" customHeight="1">
      <c r="A12" s="231" t="s">
        <v>670</v>
      </c>
      <c r="B12" s="337">
        <f>+'OLD...Tabs'!B46+'OLD...Tabs'!C46</f>
        <v>86.420104126378462</v>
      </c>
      <c r="C12" s="337">
        <f>+'OLD...Tabs'!B77+'OLD...Tabs'!C77</f>
        <v>97.281575045429719</v>
      </c>
      <c r="D12" s="337">
        <f>+'OLD...Tabs'!B107+'OLD...Tabs'!C107</f>
        <v>75.543228413463794</v>
      </c>
      <c r="E12" s="337">
        <f>+'OLD...Tabs'!B138+'OLD...Tabs'!C138</f>
        <v>80.876455642184538</v>
      </c>
      <c r="F12" s="337">
        <f>+'OLD...Tabs'!B169+'OLD...Tabs'!C169</f>
        <v>85.537573533793619</v>
      </c>
      <c r="G12" s="337">
        <f>+'OLD...Tabs'!B199+'OLD...Tabs'!C199</f>
        <v>83.473844932018636</v>
      </c>
      <c r="H12" s="342">
        <f>+'OLD...Tabs'!B14+'OLD...Tabs'!C14</f>
        <v>82.346601766927648</v>
      </c>
      <c r="I12" s="339">
        <f>+'OLD...Tabs'!B261+'OLD...Tabs'!C261</f>
        <v>71.988569082842574</v>
      </c>
      <c r="J12" s="337">
        <f>+'OLD...Tabs'!B292+'OLD...Tabs'!C292</f>
        <v>0</v>
      </c>
      <c r="K12" s="337">
        <f>+'OLD...Tabs'!B323+'OLD...Tabs'!C323</f>
        <v>0</v>
      </c>
      <c r="L12" s="337">
        <f>+'OLD...Tabs'!B354+'OLD...Tabs'!C354</f>
        <v>0</v>
      </c>
      <c r="M12" s="339">
        <f>+'OLD...Tabs'!B230+'OLD...Tabs'!C230</f>
        <v>71.988569082842574</v>
      </c>
      <c r="N12" s="340">
        <f>+'OLD...Tabs'!B415+'OLD...Tabs'!C415</f>
        <v>63.456766317035587</v>
      </c>
      <c r="O12" s="266">
        <f>+'OLD...Tabs'!B445+'OLD...Tabs'!C445</f>
        <v>0</v>
      </c>
      <c r="P12" s="339">
        <f>+'OLD...Tabs'!B385+'OLD...Tabs'!C385</f>
        <v>63.456766317035587</v>
      </c>
    </row>
    <row r="13" spans="1:16" ht="15.75" customHeight="1">
      <c r="A13" s="231" t="s">
        <v>671</v>
      </c>
      <c r="B13" s="337">
        <f>+'OLD...Tabs'!B47+'OLD...Tabs'!C47</f>
        <v>89.141474777229263</v>
      </c>
      <c r="C13" s="337">
        <f>+'OLD...Tabs'!B78+'OLD...Tabs'!C78</f>
        <v>0</v>
      </c>
      <c r="D13" s="337">
        <f>+'OLD...Tabs'!B108+'OLD...Tabs'!C108</f>
        <v>78.40230219315751</v>
      </c>
      <c r="E13" s="337">
        <f>+'OLD...Tabs'!B139+'OLD...Tabs'!C139</f>
        <v>70.110794409709456</v>
      </c>
      <c r="F13" s="337">
        <f>+'OLD...Tabs'!B170+'OLD...Tabs'!C170</f>
        <v>0</v>
      </c>
      <c r="G13" s="337">
        <f>+'OLD...Tabs'!B200+'OLD...Tabs'!C200</f>
        <v>0</v>
      </c>
      <c r="H13" s="342">
        <f>+'OLD...Tabs'!B15+'OLD...Tabs'!C15</f>
        <v>82.549571353754473</v>
      </c>
      <c r="I13" s="339">
        <f>+'OLD...Tabs'!B262+'OLD...Tabs'!C262</f>
        <v>0</v>
      </c>
      <c r="J13" s="337">
        <f>+'OLD...Tabs'!B293+'OLD...Tabs'!C293</f>
        <v>64.548587362550634</v>
      </c>
      <c r="K13" s="337">
        <f>+'OLD...Tabs'!B324+'OLD...Tabs'!C324</f>
        <v>52.251502488952006</v>
      </c>
      <c r="L13" s="337">
        <f>+'OLD...Tabs'!B355+'OLD...Tabs'!C355</f>
        <v>52.93279170017361</v>
      </c>
      <c r="M13" s="339">
        <f>+'OLD...Tabs'!B231+'OLD...Tabs'!C231</f>
        <v>56.36165921041642</v>
      </c>
      <c r="N13" s="340">
        <f>+'OLD...Tabs'!B416+'OLD...Tabs'!C416</f>
        <v>68.581831276131794</v>
      </c>
      <c r="O13" s="266">
        <f>+'OLD...Tabs'!B446+'OLD...Tabs'!C446</f>
        <v>0</v>
      </c>
      <c r="P13" s="339">
        <f>+'OLD...Tabs'!B386+'OLD...Tabs'!C386</f>
        <v>68.581831276131794</v>
      </c>
    </row>
    <row r="14" spans="1:16" ht="15.75" customHeight="1">
      <c r="A14" s="231" t="s">
        <v>672</v>
      </c>
      <c r="B14" s="337">
        <f>+'OLD...Tabs'!B48+'OLD...Tabs'!C48</f>
        <v>96.402877697841717</v>
      </c>
      <c r="C14" s="337">
        <f>+'OLD...Tabs'!B79+'OLD...Tabs'!C79</f>
        <v>87.177835651346641</v>
      </c>
      <c r="D14" s="337">
        <f>+'OLD...Tabs'!B109+'OLD...Tabs'!C109</f>
        <v>80.504178027306992</v>
      </c>
      <c r="E14" s="337">
        <f>+'OLD...Tabs'!B140+'OLD...Tabs'!C140</f>
        <v>72.404022869385216</v>
      </c>
      <c r="F14" s="337">
        <f>+'OLD...Tabs'!B171+'OLD...Tabs'!C171</f>
        <v>85.860655737704903</v>
      </c>
      <c r="G14" s="337">
        <f>+'OLD...Tabs'!B201+'OLD...Tabs'!C201</f>
        <v>62.472727272727305</v>
      </c>
      <c r="H14" s="342">
        <f>+'OLD...Tabs'!B16+'OLD...Tabs'!C16</f>
        <v>84.046850485491746</v>
      </c>
      <c r="I14" s="339">
        <f>+'OLD...Tabs'!B263+'OLD...Tabs'!C263</f>
        <v>0</v>
      </c>
      <c r="J14" s="337">
        <f>+'OLD...Tabs'!B294+'OLD...Tabs'!C294</f>
        <v>81.872403362248846</v>
      </c>
      <c r="K14" s="337">
        <f>+'OLD...Tabs'!B325+'OLD...Tabs'!C325</f>
        <v>75.493043213809955</v>
      </c>
      <c r="L14" s="337">
        <f>+'OLD...Tabs'!B356+'OLD...Tabs'!C356</f>
        <v>73.416646713265351</v>
      </c>
      <c r="M14" s="339">
        <f>+'OLD...Tabs'!B232+'OLD...Tabs'!C232</f>
        <v>77.871986602603187</v>
      </c>
      <c r="N14" s="340">
        <f>+'OLD...Tabs'!B417+'OLD...Tabs'!C417</f>
        <v>79.290092679830849</v>
      </c>
      <c r="O14" s="266">
        <f>+'OLD...Tabs'!B447+'OLD...Tabs'!C447</f>
        <v>99.903288201160535</v>
      </c>
      <c r="P14" s="339">
        <f>+'OLD...Tabs'!B387+'OLD...Tabs'!C387</f>
        <v>81.208959974508431</v>
      </c>
    </row>
    <row r="15" spans="1:16" ht="15.75" customHeight="1">
      <c r="A15" s="231" t="s">
        <v>673</v>
      </c>
      <c r="B15" s="337">
        <f>+'OLD...Tabs'!B49+'OLD...Tabs'!C49</f>
        <v>95.312156403424922</v>
      </c>
      <c r="C15" s="337">
        <f>+'OLD...Tabs'!B80+'OLD...Tabs'!C80</f>
        <v>88.944888278616901</v>
      </c>
      <c r="D15" s="337">
        <f>+'OLD...Tabs'!B110+'OLD...Tabs'!C110</f>
        <v>87.375556443258162</v>
      </c>
      <c r="E15" s="337">
        <f>+'OLD...Tabs'!B141+'OLD...Tabs'!C141</f>
        <v>82.727180175625378</v>
      </c>
      <c r="F15" s="337">
        <f>+'OLD...Tabs'!B172+'OLD...Tabs'!C172</f>
        <v>78.81552296848416</v>
      </c>
      <c r="G15" s="337">
        <f>+'OLD...Tabs'!B202+'OLD...Tabs'!C202</f>
        <v>99.850266712418502</v>
      </c>
      <c r="H15" s="342">
        <f>+'OLD...Tabs'!B17+'OLD...Tabs'!C17</f>
        <v>69.557018612653792</v>
      </c>
      <c r="I15" s="339">
        <f>+'OLD...Tabs'!B264+'OLD...Tabs'!C264</f>
        <v>0</v>
      </c>
      <c r="J15" s="337">
        <f>+'OLD...Tabs'!B295+'OLD...Tabs'!C295</f>
        <v>83.034275199255077</v>
      </c>
      <c r="K15" s="337">
        <f>+'OLD...Tabs'!B326+'OLD...Tabs'!C326</f>
        <v>71.201186786412393</v>
      </c>
      <c r="L15" s="337">
        <f>+'OLD...Tabs'!B357+'OLD...Tabs'!C357</f>
        <v>75.314700124485398</v>
      </c>
      <c r="M15" s="339">
        <f>+'OLD...Tabs'!B233+'OLD...Tabs'!C233</f>
        <v>79.830528558545865</v>
      </c>
      <c r="N15" s="340">
        <f>+'OLD...Tabs'!B418+'OLD...Tabs'!C418</f>
        <v>0</v>
      </c>
      <c r="O15" s="266">
        <f>+'OLD...Tabs'!B448+'OLD...Tabs'!C448</f>
        <v>0</v>
      </c>
      <c r="P15" s="339">
        <f>+'OLD...Tabs'!B388+'OLD...Tabs'!C388</f>
        <v>0</v>
      </c>
    </row>
    <row r="16" spans="1:16" ht="15.75" customHeight="1">
      <c r="A16" s="231"/>
      <c r="B16" s="337"/>
      <c r="C16" s="337"/>
      <c r="D16" s="337"/>
      <c r="E16" s="337"/>
      <c r="F16" s="337"/>
      <c r="G16" s="337"/>
      <c r="H16" s="342"/>
      <c r="I16" s="339"/>
      <c r="J16" s="337"/>
      <c r="K16" s="337"/>
      <c r="L16" s="337"/>
      <c r="M16" s="339"/>
      <c r="N16" s="340"/>
      <c r="O16" s="266"/>
      <c r="P16" s="339"/>
    </row>
    <row r="17" spans="1:16" ht="15.75" customHeight="1">
      <c r="A17" s="231" t="s">
        <v>674</v>
      </c>
      <c r="B17" s="337">
        <f>+'OLD...Tabs'!B51+'OLD...Tabs'!C51</f>
        <v>84.75273994325353</v>
      </c>
      <c r="C17" s="337">
        <f>+'OLD...Tabs'!B82+'OLD...Tabs'!C82</f>
        <v>69.099396335698174</v>
      </c>
      <c r="D17" s="337">
        <f>+'OLD...Tabs'!B112+'OLD...Tabs'!C112</f>
        <v>0</v>
      </c>
      <c r="E17" s="337">
        <f>+'OLD...Tabs'!B143+'OLD...Tabs'!C143</f>
        <v>68.43821763550342</v>
      </c>
      <c r="F17" s="337">
        <f>+'OLD...Tabs'!B174+'OLD...Tabs'!C174</f>
        <v>0</v>
      </c>
      <c r="G17" s="337">
        <f>+'OLD...Tabs'!B204+'OLD...Tabs'!C204</f>
        <v>0</v>
      </c>
      <c r="H17" s="342">
        <f>+'OLD...Tabs'!B19+'OLD...Tabs'!C19</f>
        <v>80.922784669161331</v>
      </c>
      <c r="I17" s="339">
        <f>+'OLD...Tabs'!B266+'OLD...Tabs'!C266</f>
        <v>0</v>
      </c>
      <c r="J17" s="337">
        <f>+'OLD...Tabs'!B297+'OLD...Tabs'!C297</f>
        <v>72.963529380673933</v>
      </c>
      <c r="K17" s="337">
        <f>+'OLD...Tabs'!B328+'OLD...Tabs'!C328</f>
        <v>72.284873056379027</v>
      </c>
      <c r="L17" s="337">
        <f>+'OLD...Tabs'!B359+'OLD...Tabs'!C359</f>
        <v>75.52402450822315</v>
      </c>
      <c r="M17" s="339">
        <f>+'OLD...Tabs'!B235+'OLD...Tabs'!C235</f>
        <v>72.783984947872796</v>
      </c>
      <c r="N17" s="340">
        <f>+'OLD...Tabs'!B420+'OLD...Tabs'!C420</f>
        <v>0</v>
      </c>
      <c r="O17" s="266">
        <f>+'OLD...Tabs'!B450+'OLD...Tabs'!C450</f>
        <v>0</v>
      </c>
      <c r="P17" s="339">
        <f>+'OLD...Tabs'!B390+'OLD...Tabs'!C390</f>
        <v>0</v>
      </c>
    </row>
    <row r="18" spans="1:16" ht="15.75" customHeight="1">
      <c r="A18" s="231" t="s">
        <v>675</v>
      </c>
      <c r="B18" s="337">
        <f>+'OLD...Tabs'!B52+'OLD...Tabs'!C52</f>
        <v>85.733028945482943</v>
      </c>
      <c r="C18" s="337">
        <f>+'OLD...Tabs'!B83+'OLD...Tabs'!C83</f>
        <v>78.536563015456039</v>
      </c>
      <c r="D18" s="337">
        <f>+'OLD...Tabs'!B113+'OLD...Tabs'!C113</f>
        <v>83.323595243549917</v>
      </c>
      <c r="E18" s="337">
        <f>+'OLD...Tabs'!B144+'OLD...Tabs'!C144</f>
        <v>61.262852587012702</v>
      </c>
      <c r="F18" s="337">
        <f>+'OLD...Tabs'!B175+'OLD...Tabs'!C175</f>
        <v>74.096715078909213</v>
      </c>
      <c r="G18" s="337">
        <f>+'OLD...Tabs'!B205+'OLD...Tabs'!C205</f>
        <v>92.68913836772002</v>
      </c>
      <c r="H18" s="342">
        <f>+'OLD...Tabs'!B20+'OLD...Tabs'!C20</f>
        <v>83.034961412300817</v>
      </c>
      <c r="I18" s="339">
        <f>+'OLD...Tabs'!B267+'OLD...Tabs'!C267</f>
        <v>0</v>
      </c>
      <c r="J18" s="337">
        <f>+'OLD...Tabs'!B298+'OLD...Tabs'!C298</f>
        <v>55.72759397930006</v>
      </c>
      <c r="K18" s="337">
        <f>+'OLD...Tabs'!B329+'OLD...Tabs'!C329</f>
        <v>49.114424796726524</v>
      </c>
      <c r="L18" s="337">
        <f>+'OLD...Tabs'!B360+'OLD...Tabs'!C360</f>
        <v>47.491212610599902</v>
      </c>
      <c r="M18" s="339">
        <f>+'OLD...Tabs'!B236+'OLD...Tabs'!C236</f>
        <v>51.928708777360605</v>
      </c>
      <c r="N18" s="340">
        <f>+'OLD...Tabs'!B421+'OLD...Tabs'!C421</f>
        <v>0</v>
      </c>
      <c r="O18" s="266">
        <f>+'OLD...Tabs'!B451+'OLD...Tabs'!C451</f>
        <v>0</v>
      </c>
      <c r="P18" s="339">
        <f>+'OLD...Tabs'!B391+'OLD...Tabs'!C391</f>
        <v>0</v>
      </c>
    </row>
    <row r="19" spans="1:16" ht="15.75" customHeight="1">
      <c r="A19" s="231" t="s">
        <v>676</v>
      </c>
      <c r="B19" s="337">
        <f>+'OLD...Tabs'!B53+'OLD...Tabs'!C53</f>
        <v>85.590369464122233</v>
      </c>
      <c r="C19" s="337">
        <f>+'OLD...Tabs'!B84+'OLD...Tabs'!C84</f>
        <v>0</v>
      </c>
      <c r="D19" s="337">
        <f>+'OLD...Tabs'!B114+'OLD...Tabs'!C114</f>
        <v>74.184362999982525</v>
      </c>
      <c r="E19" s="337">
        <f>+'OLD...Tabs'!B145+'OLD...Tabs'!C145</f>
        <v>67.254512173519387</v>
      </c>
      <c r="F19" s="337">
        <f>+'OLD...Tabs'!B176+'OLD...Tabs'!C176</f>
        <v>74.441201280481124</v>
      </c>
      <c r="G19" s="337">
        <f>+'OLD...Tabs'!B206+'OLD...Tabs'!C206</f>
        <v>74.116533749422103</v>
      </c>
      <c r="H19" s="342">
        <f>+'OLD...Tabs'!B21+'OLD...Tabs'!C21</f>
        <v>79.480286280382359</v>
      </c>
      <c r="I19" s="339">
        <f>+'OLD...Tabs'!B268+'OLD...Tabs'!C268</f>
        <v>65.775866843215539</v>
      </c>
      <c r="J19" s="337">
        <f>+'OLD...Tabs'!B299+'OLD...Tabs'!C299</f>
        <v>73.631198252616869</v>
      </c>
      <c r="K19" s="337">
        <f>+'OLD...Tabs'!B330+'OLD...Tabs'!C330</f>
        <v>68.105544512418703</v>
      </c>
      <c r="L19" s="337">
        <f>+'OLD...Tabs'!B361+'OLD...Tabs'!C361</f>
        <v>68.249876084455849</v>
      </c>
      <c r="M19" s="339">
        <f>+'OLD...Tabs'!B237+'OLD...Tabs'!C237</f>
        <v>70.150708384380991</v>
      </c>
      <c r="N19" s="340">
        <f>+'OLD...Tabs'!B422+'OLD...Tabs'!C422</f>
        <v>0</v>
      </c>
      <c r="O19" s="266">
        <f>+'OLD...Tabs'!B452+'OLD...Tabs'!C452</f>
        <v>0</v>
      </c>
      <c r="P19" s="339">
        <f>+'OLD...Tabs'!B392+'OLD...Tabs'!C392</f>
        <v>0</v>
      </c>
    </row>
    <row r="20" spans="1:16" ht="15.75" customHeight="1">
      <c r="A20" s="231" t="s">
        <v>677</v>
      </c>
      <c r="B20" s="337">
        <f>+'OLD...Tabs'!B54+'OLD...Tabs'!C54</f>
        <v>89.636703809651223</v>
      </c>
      <c r="C20" s="337">
        <f>+'OLD...Tabs'!B85+'OLD...Tabs'!C85</f>
        <v>0</v>
      </c>
      <c r="D20" s="337">
        <f>+'OLD...Tabs'!B115+'OLD...Tabs'!C115</f>
        <v>92.122664396205408</v>
      </c>
      <c r="E20" s="337">
        <f>+'OLD...Tabs'!B146+'OLD...Tabs'!C146</f>
        <v>82.646908778405106</v>
      </c>
      <c r="F20" s="337">
        <f>+'OLD...Tabs'!B177+'OLD...Tabs'!C177</f>
        <v>91.829115750986233</v>
      </c>
      <c r="G20" s="337">
        <f>+'OLD...Tabs'!B207+'OLD...Tabs'!C207</f>
        <v>78.868109269999195</v>
      </c>
      <c r="H20" s="342">
        <f>+'OLD...Tabs'!B22+'OLD...Tabs'!C22</f>
        <v>87.993494869873203</v>
      </c>
      <c r="I20" s="339">
        <f>+'OLD...Tabs'!B269+'OLD...Tabs'!C269</f>
        <v>0</v>
      </c>
      <c r="J20" s="337">
        <f>+'OLD...Tabs'!B300+'OLD...Tabs'!C300</f>
        <v>63.41609002277098</v>
      </c>
      <c r="K20" s="337">
        <f>+'OLD...Tabs'!B331+'OLD...Tabs'!C331</f>
        <v>66.018881121243965</v>
      </c>
      <c r="L20" s="337">
        <f>+'OLD...Tabs'!B362+'OLD...Tabs'!C362</f>
        <v>75.005028106261776</v>
      </c>
      <c r="M20" s="339">
        <f>+'OLD...Tabs'!B238+'OLD...Tabs'!C238</f>
        <v>66.247681539205772</v>
      </c>
      <c r="N20" s="340">
        <f>+'OLD...Tabs'!B423+'OLD...Tabs'!C423</f>
        <v>0</v>
      </c>
      <c r="O20" s="266">
        <f>+'OLD...Tabs'!B453+'OLD...Tabs'!C453</f>
        <v>0</v>
      </c>
      <c r="P20" s="339">
        <f>+'OLD...Tabs'!B393+'OLD...Tabs'!C393</f>
        <v>0</v>
      </c>
    </row>
    <row r="21" spans="1:16" ht="15.75" customHeight="1">
      <c r="A21" s="231"/>
      <c r="B21" s="337"/>
      <c r="C21" s="337"/>
      <c r="D21" s="337"/>
      <c r="E21" s="337"/>
      <c r="F21" s="337"/>
      <c r="G21" s="337"/>
      <c r="H21" s="342"/>
      <c r="I21" s="339"/>
      <c r="J21" s="337"/>
      <c r="K21" s="337"/>
      <c r="L21" s="337"/>
      <c r="M21" s="339"/>
      <c r="N21" s="340"/>
      <c r="O21" s="266"/>
      <c r="P21" s="339"/>
    </row>
    <row r="22" spans="1:16" ht="15.75" customHeight="1">
      <c r="A22" s="231" t="s">
        <v>678</v>
      </c>
      <c r="B22" s="337">
        <f>+'OLD...Tabs'!B56+'OLD...Tabs'!C56</f>
        <v>83.771965419560303</v>
      </c>
      <c r="C22" s="337">
        <f>+'OLD...Tabs'!B87+'OLD...Tabs'!C87</f>
        <v>77.271552687091599</v>
      </c>
      <c r="D22" s="337">
        <f>+'OLD...Tabs'!B117+'OLD...Tabs'!C117</f>
        <v>70.472962658412158</v>
      </c>
      <c r="E22" s="337">
        <f>+'OLD...Tabs'!B148+'OLD...Tabs'!C148</f>
        <v>0</v>
      </c>
      <c r="F22" s="337">
        <f>+'OLD...Tabs'!B179+'OLD...Tabs'!C179</f>
        <v>81.859562219693416</v>
      </c>
      <c r="G22" s="337">
        <f>+'OLD...Tabs'!B209+'OLD...Tabs'!C209</f>
        <v>0</v>
      </c>
      <c r="H22" s="342">
        <f>+'OLD...Tabs'!B24+'OLD...Tabs'!C24</f>
        <v>78.011285233305784</v>
      </c>
      <c r="I22" s="339">
        <f>+'OLD...Tabs'!B271+'OLD...Tabs'!C271</f>
        <v>0</v>
      </c>
      <c r="J22" s="337">
        <f>+'OLD...Tabs'!B302+'OLD...Tabs'!C302</f>
        <v>71.830861571929333</v>
      </c>
      <c r="K22" s="337">
        <f>+'OLD...Tabs'!B333+'OLD...Tabs'!C333</f>
        <v>69.7876612379238</v>
      </c>
      <c r="L22" s="337">
        <f>+'OLD...Tabs'!B364+'OLD...Tabs'!C364</f>
        <v>68.863640792781553</v>
      </c>
      <c r="M22" s="339">
        <f>+'OLD...Tabs'!B240+'OLD...Tabs'!C240</f>
        <v>70.830303281946044</v>
      </c>
      <c r="N22" s="340">
        <f>+'OLD...Tabs'!B425+'OLD...Tabs'!C425</f>
        <v>0</v>
      </c>
      <c r="O22" s="266">
        <f>+'OLD...Tabs'!B455+'OLD...Tabs'!C455</f>
        <v>0</v>
      </c>
      <c r="P22" s="339">
        <f>+'OLD...Tabs'!B395+'OLD...Tabs'!C395</f>
        <v>0</v>
      </c>
    </row>
    <row r="23" spans="1:16" ht="15.75" customHeight="1">
      <c r="A23" s="231" t="s">
        <v>679</v>
      </c>
      <c r="B23" s="337">
        <f>+'OLD...Tabs'!B57+'OLD...Tabs'!C57</f>
        <v>0</v>
      </c>
      <c r="C23" s="337">
        <f>+'OLD...Tabs'!B88+'OLD...Tabs'!C88</f>
        <v>0</v>
      </c>
      <c r="D23" s="337">
        <f>+'OLD...Tabs'!B118+'OLD...Tabs'!C118</f>
        <v>0</v>
      </c>
      <c r="E23" s="337">
        <f>+'OLD...Tabs'!B149+'OLD...Tabs'!C149</f>
        <v>0</v>
      </c>
      <c r="F23" s="337">
        <f>+'OLD...Tabs'!B180+'OLD...Tabs'!C180</f>
        <v>0</v>
      </c>
      <c r="G23" s="337">
        <f>+'OLD...Tabs'!B210+'OLD...Tabs'!C210</f>
        <v>0</v>
      </c>
      <c r="H23" s="342">
        <f>+'OLD...Tabs'!B25+'OLD...Tabs'!C25</f>
        <v>0</v>
      </c>
      <c r="I23" s="339">
        <f>+'OLD...Tabs'!B272+'OLD...Tabs'!C272</f>
        <v>0</v>
      </c>
      <c r="J23" s="337">
        <f>+'OLD...Tabs'!B303+'OLD...Tabs'!C303</f>
        <v>0</v>
      </c>
      <c r="K23" s="337">
        <f>+'OLD...Tabs'!B334+'OLD...Tabs'!C334</f>
        <v>0</v>
      </c>
      <c r="L23" s="337">
        <f>+'OLD...Tabs'!B365+'OLD...Tabs'!C365</f>
        <v>0</v>
      </c>
      <c r="M23" s="339">
        <f>+'OLD...Tabs'!B241+'OLD...Tabs'!C241</f>
        <v>0</v>
      </c>
      <c r="N23" s="340">
        <f>+'OLD...Tabs'!B426+'OLD...Tabs'!C426</f>
        <v>0</v>
      </c>
      <c r="O23" s="266">
        <f>+'OLD...Tabs'!B456+'OLD...Tabs'!C456</f>
        <v>0</v>
      </c>
      <c r="P23" s="339">
        <f>+'OLD...Tabs'!B396+'OLD...Tabs'!C396</f>
        <v>0</v>
      </c>
    </row>
    <row r="24" spans="1:16" ht="15.75" customHeight="1">
      <c r="A24" s="231" t="s">
        <v>680</v>
      </c>
      <c r="B24" s="337">
        <f>+'OLD...Tabs'!B58+'OLD...Tabs'!C58</f>
        <v>89.336576882453386</v>
      </c>
      <c r="C24" s="337">
        <f>+'OLD...Tabs'!B89+'OLD...Tabs'!C89</f>
        <v>99.603090530222772</v>
      </c>
      <c r="D24" s="337">
        <f>+'OLD...Tabs'!B119+'OLD...Tabs'!C119</f>
        <v>90.568775140437779</v>
      </c>
      <c r="E24" s="337">
        <f>+'OLD...Tabs'!B150+'OLD...Tabs'!C150</f>
        <v>0</v>
      </c>
      <c r="F24" s="337">
        <f>+'OLD...Tabs'!B181+'OLD...Tabs'!C181</f>
        <v>100.00000000000001</v>
      </c>
      <c r="G24" s="337">
        <f>+'OLD...Tabs'!B211+'OLD...Tabs'!C211</f>
        <v>75.147290502190472</v>
      </c>
      <c r="H24" s="342">
        <f>+'OLD...Tabs'!B26+'OLD...Tabs'!C26</f>
        <v>90.229251752617344</v>
      </c>
      <c r="I24" s="339">
        <f>+'OLD...Tabs'!B273+'OLD...Tabs'!C273</f>
        <v>0</v>
      </c>
      <c r="J24" s="337">
        <f>+'OLD...Tabs'!B304+'OLD...Tabs'!C304</f>
        <v>71.075201389223864</v>
      </c>
      <c r="K24" s="337">
        <f>+'OLD...Tabs'!B335+'OLD...Tabs'!C335</f>
        <v>67.042965070350647</v>
      </c>
      <c r="L24" s="337">
        <f>+'OLD...Tabs'!B366+'OLD...Tabs'!C366</f>
        <v>61.425267591128119</v>
      </c>
      <c r="M24" s="339">
        <f>+'OLD...Tabs'!B242+'OLD...Tabs'!C242</f>
        <v>68.715267718401847</v>
      </c>
      <c r="N24" s="340">
        <f>+'OLD...Tabs'!B427+'OLD...Tabs'!C427</f>
        <v>0</v>
      </c>
      <c r="O24" s="266">
        <f>+'OLD...Tabs'!B457+'OLD...Tabs'!C457</f>
        <v>0</v>
      </c>
      <c r="P24" s="339">
        <f>+'OLD...Tabs'!B397+'OLD...Tabs'!C397</f>
        <v>0</v>
      </c>
    </row>
    <row r="25" spans="1:16" ht="15.75" customHeight="1">
      <c r="A25" s="237" t="s">
        <v>681</v>
      </c>
      <c r="B25" s="343">
        <f>+'OLD...Tabs'!B59+'OLD...Tabs'!C59</f>
        <v>88.323812110994808</v>
      </c>
      <c r="C25" s="343">
        <f>+'OLD...Tabs'!B90+'OLD...Tabs'!C90</f>
        <v>0</v>
      </c>
      <c r="D25" s="343">
        <f>+'OLD...Tabs'!B120+'OLD...Tabs'!C120</f>
        <v>82.29102118919846</v>
      </c>
      <c r="E25" s="343">
        <f>+'OLD...Tabs'!B151+'OLD...Tabs'!C151</f>
        <v>0</v>
      </c>
      <c r="F25" s="343">
        <f>+'OLD...Tabs'!B182+'OLD...Tabs'!C182</f>
        <v>83.19389664409654</v>
      </c>
      <c r="G25" s="343">
        <f>+'OLD...Tabs'!B212+'OLD...Tabs'!C212</f>
        <v>71.918487385489087</v>
      </c>
      <c r="H25" s="344">
        <f>+'OLD...Tabs'!B27+'OLD...Tabs'!C27</f>
        <v>83.914062327288264</v>
      </c>
      <c r="I25" s="345">
        <f>+'OLD...Tabs'!B274+'OLD...Tabs'!C274</f>
        <v>68.201432243848686</v>
      </c>
      <c r="J25" s="343">
        <f>+'OLD...Tabs'!B305+'OLD...Tabs'!C305</f>
        <v>0</v>
      </c>
      <c r="K25" s="343">
        <f>+'OLD...Tabs'!B336+'OLD...Tabs'!C336</f>
        <v>76.509370612294731</v>
      </c>
      <c r="L25" s="346">
        <f>+'OLD...Tabs'!B367+'OLD...Tabs'!C367</f>
        <v>66.903755468177394</v>
      </c>
      <c r="M25" s="345">
        <f>+'OLD...Tabs'!B243+'OLD...Tabs'!C243</f>
        <v>68.912626455301321</v>
      </c>
      <c r="N25" s="347">
        <f>+'OLD...Tabs'!B428+'OLD...Tabs'!C428</f>
        <v>0</v>
      </c>
      <c r="O25" s="276">
        <f>+'OLD...Tabs'!B458+'OLD...Tabs'!C458</f>
        <v>0</v>
      </c>
      <c r="P25" s="345">
        <f>+'OLD...Tabs'!B398+'OLD...Tabs'!C398</f>
        <v>0</v>
      </c>
    </row>
    <row r="26" spans="1:16" s="278" customFormat="1" ht="24" customHeight="1">
      <c r="A26" s="493" t="s">
        <v>840</v>
      </c>
      <c r="B26" s="493"/>
      <c r="C26" s="493"/>
      <c r="D26" s="493"/>
      <c r="E26" s="493"/>
      <c r="F26" s="493"/>
      <c r="G26" s="493"/>
      <c r="H26" s="493"/>
      <c r="I26" s="493"/>
      <c r="J26" s="493"/>
      <c r="K26" s="493"/>
      <c r="L26" s="493"/>
      <c r="M26" s="493"/>
      <c r="N26" s="493"/>
      <c r="O26" s="493"/>
      <c r="P26" s="493"/>
    </row>
    <row r="27" spans="1:16" s="278" customFormat="1" ht="10">
      <c r="M27" s="348"/>
      <c r="P27" s="284" t="s">
        <v>839</v>
      </c>
    </row>
    <row r="28" spans="1:16" ht="18">
      <c r="A28" s="482" t="s">
        <v>734</v>
      </c>
      <c r="B28" s="482"/>
      <c r="C28" s="482"/>
      <c r="D28" s="482"/>
      <c r="E28" s="482"/>
      <c r="F28" s="482"/>
      <c r="G28" s="482"/>
      <c r="H28" s="482"/>
      <c r="I28" s="482"/>
      <c r="J28" s="482"/>
      <c r="K28" s="482"/>
      <c r="L28" s="482"/>
      <c r="M28" s="482"/>
      <c r="N28" s="482"/>
      <c r="O28" s="482"/>
      <c r="P28" s="482"/>
    </row>
    <row r="29" spans="1:16" s="231" customFormat="1" ht="13">
      <c r="A29" s="232"/>
      <c r="B29" s="228"/>
      <c r="C29" s="228"/>
      <c r="D29" s="228"/>
      <c r="E29" s="228"/>
      <c r="F29" s="228"/>
      <c r="G29" s="228"/>
      <c r="H29" s="228"/>
      <c r="I29" s="228"/>
      <c r="J29" s="228"/>
      <c r="K29" s="228"/>
      <c r="L29" s="228"/>
      <c r="M29" s="228"/>
    </row>
    <row r="30" spans="1:16" ht="15.5">
      <c r="A30" s="497" t="s">
        <v>780</v>
      </c>
      <c r="B30" s="497"/>
      <c r="C30" s="497"/>
      <c r="D30" s="497"/>
      <c r="E30" s="497"/>
      <c r="F30" s="497"/>
      <c r="G30" s="497"/>
      <c r="H30" s="497"/>
      <c r="I30" s="497"/>
      <c r="J30" s="497"/>
      <c r="K30" s="497"/>
      <c r="L30" s="497"/>
      <c r="M30" s="497"/>
      <c r="N30" s="497"/>
      <c r="O30" s="497"/>
      <c r="P30" s="497"/>
    </row>
    <row r="31" spans="1:16" s="231" customFormat="1" ht="9.75" customHeight="1">
      <c r="A31" s="350"/>
      <c r="B31" s="228"/>
      <c r="C31" s="228"/>
      <c r="D31" s="228"/>
      <c r="E31" s="228"/>
      <c r="F31" s="228"/>
      <c r="G31" s="228"/>
      <c r="H31" s="228"/>
      <c r="I31" s="228"/>
      <c r="J31" s="228"/>
      <c r="K31" s="228"/>
      <c r="L31" s="228"/>
      <c r="M31" s="228"/>
    </row>
    <row r="32" spans="1:16" s="332" customFormat="1" ht="18" customHeight="1">
      <c r="A32" s="327"/>
      <c r="B32" s="331" t="s">
        <v>565</v>
      </c>
      <c r="C32" s="331"/>
      <c r="D32" s="331"/>
      <c r="E32" s="331"/>
      <c r="F32" s="331"/>
      <c r="G32" s="331"/>
      <c r="H32" s="351"/>
      <c r="I32" s="330" t="s">
        <v>568</v>
      </c>
      <c r="J32" s="331"/>
      <c r="K32" s="331"/>
      <c r="L32" s="331"/>
      <c r="M32" s="331"/>
      <c r="N32" s="330" t="s">
        <v>584</v>
      </c>
      <c r="O32" s="331"/>
      <c r="P32" s="331"/>
    </row>
    <row r="33" spans="1:16" s="336" customFormat="1" ht="26.25" customHeight="1">
      <c r="A33" s="333"/>
      <c r="B33" s="328">
        <v>1</v>
      </c>
      <c r="C33" s="328">
        <v>2</v>
      </c>
      <c r="D33" s="328">
        <v>3</v>
      </c>
      <c r="E33" s="328">
        <v>4</v>
      </c>
      <c r="F33" s="328">
        <v>5</v>
      </c>
      <c r="G33" s="328">
        <v>6</v>
      </c>
      <c r="H33" s="334" t="s">
        <v>731</v>
      </c>
      <c r="I33" s="335" t="s">
        <v>732</v>
      </c>
      <c r="J33" s="328">
        <v>1</v>
      </c>
      <c r="K33" s="328">
        <v>2</v>
      </c>
      <c r="L33" s="328">
        <v>3</v>
      </c>
      <c r="M33" s="329" t="s">
        <v>733</v>
      </c>
      <c r="N33" s="329">
        <v>1</v>
      </c>
      <c r="O33" s="328">
        <v>2</v>
      </c>
      <c r="P33" s="329" t="s">
        <v>733</v>
      </c>
    </row>
    <row r="34" spans="1:16" ht="15.75" customHeight="1">
      <c r="A34" s="231" t="s">
        <v>666</v>
      </c>
      <c r="B34" s="337">
        <f>+'OLD...Tabs'!D41</f>
        <v>12.420493645055911</v>
      </c>
      <c r="C34" s="337">
        <f>+'OLD...Tabs'!D72</f>
        <v>12.402801959058504</v>
      </c>
      <c r="D34" s="337">
        <f>+'OLD...Tabs'!D102</f>
        <v>24.510888302460394</v>
      </c>
      <c r="E34" s="337">
        <f>+'OLD...Tabs'!D133</f>
        <v>19.659267994777409</v>
      </c>
      <c r="F34" s="337">
        <f>+'OLD...Tabs'!D164</f>
        <v>14.615889586268732</v>
      </c>
      <c r="G34" s="337">
        <f>+'OLD...Tabs'!D194</f>
        <v>80.953180832544362</v>
      </c>
      <c r="H34" s="341">
        <f>+'OLD...Tabs'!D9</f>
        <v>16.719458062896788</v>
      </c>
      <c r="I34" s="341">
        <f>+'OLD...Tabs'!D256</f>
        <v>0</v>
      </c>
      <c r="J34" s="337">
        <f>+'OLD...Tabs'!D287</f>
        <v>35.790357674542889</v>
      </c>
      <c r="K34" s="337">
        <f>+'OLD...Tabs'!D318</f>
        <v>24.465356602671395</v>
      </c>
      <c r="L34" s="337">
        <f>+'OLD...Tabs'!D349</f>
        <v>35.86071880721282</v>
      </c>
      <c r="M34" s="339">
        <f>+'OLD...Tabs'!D225</f>
        <v>29.024497208266002</v>
      </c>
      <c r="N34" s="340">
        <f>+'OLD...Tabs'!D410</f>
        <v>8.621963719577602</v>
      </c>
      <c r="O34" s="266">
        <f>+'OLD...Tabs'!D440</f>
        <v>13.310221918410194</v>
      </c>
      <c r="P34" s="339">
        <f>+'OLD...Tabs'!D380</f>
        <v>10.938103049015824</v>
      </c>
    </row>
    <row r="35" spans="1:16" ht="15.75" customHeight="1">
      <c r="A35" s="231" t="s">
        <v>667</v>
      </c>
      <c r="B35" s="337">
        <f>+'OLD...Tabs'!D42</f>
        <v>8.9677896658954506</v>
      </c>
      <c r="C35" s="337">
        <f>+'OLD...Tabs'!D73</f>
        <v>35.597383749436148</v>
      </c>
      <c r="D35" s="337">
        <f>+'OLD...Tabs'!D103</f>
        <v>22.2250645060669</v>
      </c>
      <c r="E35" s="337">
        <f>+'OLD...Tabs'!D134</f>
        <v>20.818472953139946</v>
      </c>
      <c r="F35" s="337">
        <f>+'OLD...Tabs'!D165</f>
        <v>0</v>
      </c>
      <c r="G35" s="337">
        <f>+'OLD...Tabs'!D195</f>
        <v>23.083392946175024</v>
      </c>
      <c r="H35" s="339">
        <f>+'OLD...Tabs'!D10</f>
        <v>19.404159034586794</v>
      </c>
      <c r="I35" s="339">
        <f>+'OLD...Tabs'!D257</f>
        <v>0</v>
      </c>
      <c r="J35" s="337">
        <f>+'OLD...Tabs'!D288</f>
        <v>28.7018583355777</v>
      </c>
      <c r="K35" s="337">
        <f>+'OLD...Tabs'!D319</f>
        <v>31.061563459108143</v>
      </c>
      <c r="L35" s="337">
        <f>+'OLD...Tabs'!D350</f>
        <v>25.820018218933061</v>
      </c>
      <c r="M35" s="339">
        <f>+'OLD...Tabs'!D226</f>
        <v>27.371573971875605</v>
      </c>
      <c r="N35" s="340">
        <f>+'OLD...Tabs'!D411</f>
        <v>0</v>
      </c>
      <c r="O35" s="266">
        <f>+'OLD...Tabs'!D441</f>
        <v>0</v>
      </c>
      <c r="P35" s="339">
        <f>+'OLD...Tabs'!D381</f>
        <v>0</v>
      </c>
    </row>
    <row r="36" spans="1:16" ht="15.75" customHeight="1">
      <c r="A36" s="231" t="s">
        <v>668</v>
      </c>
      <c r="B36" s="337">
        <f>+'OLD...Tabs'!D43</f>
        <v>3.8693262566596394</v>
      </c>
      <c r="C36" s="337">
        <f>+'OLD...Tabs'!D74</f>
        <v>0</v>
      </c>
      <c r="D36" s="337">
        <f>+'OLD...Tabs'!D104</f>
        <v>7.6619226992246476</v>
      </c>
      <c r="E36" s="337">
        <f>+'OLD...Tabs'!D135</f>
        <v>0</v>
      </c>
      <c r="F36" s="337">
        <f>+'OLD...Tabs'!D166</f>
        <v>0</v>
      </c>
      <c r="G36" s="337">
        <f>+'OLD...Tabs'!D196</f>
        <v>0</v>
      </c>
      <c r="H36" s="339">
        <f>+'OLD...Tabs'!D11</f>
        <v>4.5779305245573925</v>
      </c>
      <c r="I36" s="339">
        <f>+'OLD...Tabs'!D258</f>
        <v>0</v>
      </c>
      <c r="J36" s="337">
        <f>+'OLD...Tabs'!D289</f>
        <v>0</v>
      </c>
      <c r="K36" s="337">
        <f>+'OLD...Tabs'!D320</f>
        <v>19.613579456984453</v>
      </c>
      <c r="L36" s="337">
        <f>+'OLD...Tabs'!D351</f>
        <v>0</v>
      </c>
      <c r="M36" s="339">
        <f>+'OLD...Tabs'!D227</f>
        <v>19.613579456984453</v>
      </c>
      <c r="N36" s="340">
        <f>+'OLD...Tabs'!D412</f>
        <v>0</v>
      </c>
      <c r="O36" s="266">
        <f>+'OLD...Tabs'!D442</f>
        <v>0</v>
      </c>
      <c r="P36" s="339">
        <f>+'OLD...Tabs'!D382</f>
        <v>0</v>
      </c>
    </row>
    <row r="37" spans="1:16" ht="15.75" customHeight="1">
      <c r="A37" s="231" t="s">
        <v>705</v>
      </c>
      <c r="B37" s="337">
        <f>+'OLD...Tabs'!D44</f>
        <v>0</v>
      </c>
      <c r="C37" s="337">
        <f>+'OLD...Tabs'!D75</f>
        <v>0</v>
      </c>
      <c r="D37" s="337">
        <f>+'OLD...Tabs'!D105</f>
        <v>0</v>
      </c>
      <c r="E37" s="337">
        <f>+'OLD...Tabs'!D136</f>
        <v>0</v>
      </c>
      <c r="F37" s="337">
        <f>+'OLD...Tabs'!D167</f>
        <v>0</v>
      </c>
      <c r="G37" s="337">
        <f>+'OLD...Tabs'!D197</f>
        <v>0</v>
      </c>
      <c r="H37" s="339">
        <f>+'OLD...Tabs'!D12</f>
        <v>0</v>
      </c>
      <c r="I37" s="339">
        <f>+'OLD...Tabs'!D259</f>
        <v>28.043118966789361</v>
      </c>
      <c r="J37" s="337">
        <f>+'OLD...Tabs'!D290</f>
        <v>30.627067469913726</v>
      </c>
      <c r="K37" s="337">
        <f>+'OLD...Tabs'!D321</f>
        <v>0</v>
      </c>
      <c r="L37" s="337">
        <f>+'OLD...Tabs'!D352</f>
        <v>33.572677027729227</v>
      </c>
      <c r="M37" s="339">
        <f>+'OLD...Tabs'!D228</f>
        <v>28.309738787946344</v>
      </c>
      <c r="N37" s="340">
        <f>+'OLD...Tabs'!D413</f>
        <v>0</v>
      </c>
      <c r="O37" s="266">
        <f>+'OLD...Tabs'!D443</f>
        <v>0</v>
      </c>
      <c r="P37" s="339">
        <f>+'OLD...Tabs'!D383</f>
        <v>0</v>
      </c>
    </row>
    <row r="38" spans="1:16" ht="15.75" customHeight="1">
      <c r="B38" s="231"/>
      <c r="C38" s="231"/>
      <c r="D38" s="231"/>
      <c r="E38" s="231"/>
      <c r="F38" s="231"/>
      <c r="G38" s="231"/>
      <c r="H38" s="352"/>
      <c r="I38" s="352"/>
      <c r="J38" s="231"/>
      <c r="K38" s="231"/>
      <c r="L38" s="231"/>
      <c r="M38" s="352"/>
      <c r="N38" s="352"/>
      <c r="O38" s="231"/>
      <c r="P38" s="352"/>
    </row>
    <row r="39" spans="1:16" ht="15.75" customHeight="1">
      <c r="A39" s="231" t="s">
        <v>670</v>
      </c>
      <c r="B39" s="337">
        <f>+'OLD...Tabs'!D46</f>
        <v>13.579895873621538</v>
      </c>
      <c r="C39" s="337">
        <f>+'OLD...Tabs'!D77</f>
        <v>2.7184249545702852</v>
      </c>
      <c r="D39" s="337">
        <f>+'OLD...Tabs'!D107</f>
        <v>24.456771586536199</v>
      </c>
      <c r="E39" s="337">
        <f>+'OLD...Tabs'!D138</f>
        <v>19.123544357815469</v>
      </c>
      <c r="F39" s="337">
        <f>+'OLD...Tabs'!D169</f>
        <v>14.462426466206379</v>
      </c>
      <c r="G39" s="337">
        <f>+'OLD...Tabs'!D199</f>
        <v>16.526155067981364</v>
      </c>
      <c r="H39" s="339">
        <f>+'OLD...Tabs'!D14</f>
        <v>17.653398233072355</v>
      </c>
      <c r="I39" s="339">
        <f>+'OLD...Tabs'!D261</f>
        <v>28.011430917157426</v>
      </c>
      <c r="J39" s="337">
        <f>+'OLD...Tabs'!D292</f>
        <v>0</v>
      </c>
      <c r="K39" s="337">
        <f>+'OLD...Tabs'!D323</f>
        <v>0</v>
      </c>
      <c r="L39" s="337">
        <f>+'OLD...Tabs'!D354</f>
        <v>0</v>
      </c>
      <c r="M39" s="339">
        <f>+'OLD...Tabs'!D230</f>
        <v>28.011430917157426</v>
      </c>
      <c r="N39" s="340">
        <f>+'OLD...Tabs'!D415</f>
        <v>36.54323368296442</v>
      </c>
      <c r="O39" s="266">
        <f>+'OLD...Tabs'!D445</f>
        <v>0</v>
      </c>
      <c r="P39" s="339">
        <f>+'OLD...Tabs'!D385</f>
        <v>36.54323368296442</v>
      </c>
    </row>
    <row r="40" spans="1:16" ht="15.75" customHeight="1">
      <c r="A40" s="231" t="s">
        <v>671</v>
      </c>
      <c r="B40" s="337">
        <f>+'OLD...Tabs'!D47</f>
        <v>10.858525222770734</v>
      </c>
      <c r="C40" s="337">
        <f>+'OLD...Tabs'!D78</f>
        <v>0</v>
      </c>
      <c r="D40" s="337">
        <f>+'OLD...Tabs'!D108</f>
        <v>21.597697806842486</v>
      </c>
      <c r="E40" s="337">
        <f>+'OLD...Tabs'!D139</f>
        <v>29.889205590290548</v>
      </c>
      <c r="F40" s="337">
        <f>+'OLD...Tabs'!D170</f>
        <v>0</v>
      </c>
      <c r="G40" s="337">
        <f>+'OLD...Tabs'!D200</f>
        <v>0</v>
      </c>
      <c r="H40" s="339">
        <f>+'OLD...Tabs'!D15</f>
        <v>17.450428646245534</v>
      </c>
      <c r="I40" s="339">
        <f>+'OLD...Tabs'!D262</f>
        <v>0</v>
      </c>
      <c r="J40" s="337">
        <f>+'OLD...Tabs'!D293</f>
        <v>35.451412637449359</v>
      </c>
      <c r="K40" s="337">
        <f>+'OLD...Tabs'!D324</f>
        <v>47.748497511048001</v>
      </c>
      <c r="L40" s="337">
        <f>+'OLD...Tabs'!D355</f>
        <v>47.067208299826397</v>
      </c>
      <c r="M40" s="339">
        <f>+'OLD...Tabs'!D231</f>
        <v>43.63834078958358</v>
      </c>
      <c r="N40" s="340">
        <f>+'OLD...Tabs'!D416</f>
        <v>31.418168723868206</v>
      </c>
      <c r="O40" s="266">
        <f>+'OLD...Tabs'!D446</f>
        <v>0</v>
      </c>
      <c r="P40" s="339">
        <f>+'OLD...Tabs'!D386</f>
        <v>31.418168723868206</v>
      </c>
    </row>
    <row r="41" spans="1:16" ht="15.75" customHeight="1">
      <c r="A41" s="231" t="s">
        <v>672</v>
      </c>
      <c r="B41" s="337">
        <f>+'OLD...Tabs'!D48</f>
        <v>3.5971223021582803</v>
      </c>
      <c r="C41" s="337">
        <f>+'OLD...Tabs'!D79</f>
        <v>12.822164348653351</v>
      </c>
      <c r="D41" s="337">
        <f>+'OLD...Tabs'!D109</f>
        <v>19.495821972693001</v>
      </c>
      <c r="E41" s="337">
        <f>+'OLD...Tabs'!D140</f>
        <v>27.595977130614802</v>
      </c>
      <c r="F41" s="337">
        <f>+'OLD...Tabs'!D171</f>
        <v>14.139344262295086</v>
      </c>
      <c r="G41" s="337">
        <f>+'OLD...Tabs'!D201</f>
        <v>37.527272727272702</v>
      </c>
      <c r="H41" s="339">
        <f>+'OLD...Tabs'!D16</f>
        <v>15.953149514508253</v>
      </c>
      <c r="I41" s="339">
        <f>+'OLD...Tabs'!D263</f>
        <v>0</v>
      </c>
      <c r="J41" s="337">
        <f>+'OLD...Tabs'!D294</f>
        <v>18.127596637751161</v>
      </c>
      <c r="K41" s="337">
        <f>+'OLD...Tabs'!D325</f>
        <v>24.506956786190035</v>
      </c>
      <c r="L41" s="337">
        <f>+'OLD...Tabs'!D356</f>
        <v>26.583353286734653</v>
      </c>
      <c r="M41" s="339">
        <f>+'OLD...Tabs'!D232</f>
        <v>22.12801339739681</v>
      </c>
      <c r="N41" s="340">
        <f>+'OLD...Tabs'!D417</f>
        <v>20.709907320169165</v>
      </c>
      <c r="O41" s="266">
        <f>+'OLD...Tabs'!D447</f>
        <v>9.6711798839458366E-2</v>
      </c>
      <c r="P41" s="339">
        <f>+'OLD...Tabs'!D387</f>
        <v>18.791040025491569</v>
      </c>
    </row>
    <row r="42" spans="1:16" ht="15.75" customHeight="1">
      <c r="A42" s="231" t="s">
        <v>673</v>
      </c>
      <c r="B42" s="337">
        <f>+'OLD...Tabs'!D49</f>
        <v>4.6878435965750871</v>
      </c>
      <c r="C42" s="337">
        <f>+'OLD...Tabs'!D80</f>
        <v>11.055111721383099</v>
      </c>
      <c r="D42" s="337">
        <f>+'OLD...Tabs'!D110</f>
        <v>12.624443556741832</v>
      </c>
      <c r="E42" s="337">
        <f>+'OLD...Tabs'!D141</f>
        <v>17.272819824374622</v>
      </c>
      <c r="F42" s="337">
        <f>+'OLD...Tabs'!D172</f>
        <v>21.18447703151584</v>
      </c>
      <c r="G42" s="337">
        <f>+'OLD...Tabs'!D202</f>
        <v>0.14973328758149546</v>
      </c>
      <c r="H42" s="339">
        <f>+'OLD...Tabs'!D17</f>
        <v>30.442981387346215</v>
      </c>
      <c r="I42" s="339">
        <f>+'OLD...Tabs'!D264</f>
        <v>0</v>
      </c>
      <c r="J42" s="337">
        <f>+'OLD...Tabs'!D295</f>
        <v>16.965724800744923</v>
      </c>
      <c r="K42" s="337">
        <f>+'OLD...Tabs'!D326</f>
        <v>28.781927469043239</v>
      </c>
      <c r="L42" s="337">
        <f>+'OLD...Tabs'!D357</f>
        <v>24.685299875514602</v>
      </c>
      <c r="M42" s="339">
        <f>+'OLD...Tabs'!D233</f>
        <v>20.165730711304903</v>
      </c>
      <c r="N42" s="340">
        <f>+'OLD...Tabs'!D418</f>
        <v>0</v>
      </c>
      <c r="O42" s="266">
        <f>+'OLD...Tabs'!D448</f>
        <v>0</v>
      </c>
      <c r="P42" s="339">
        <f>+'OLD...Tabs'!D388</f>
        <v>0</v>
      </c>
    </row>
    <row r="43" spans="1:16" ht="15.75" customHeight="1">
      <c r="B43" s="231"/>
      <c r="C43" s="231"/>
      <c r="D43" s="231"/>
      <c r="E43" s="231"/>
      <c r="F43" s="231"/>
      <c r="G43" s="231"/>
      <c r="H43" s="352"/>
      <c r="I43" s="352"/>
      <c r="J43" s="231"/>
      <c r="K43" s="231"/>
      <c r="L43" s="231"/>
      <c r="M43" s="352"/>
      <c r="N43" s="352"/>
      <c r="O43" s="231"/>
      <c r="P43" s="352"/>
    </row>
    <row r="44" spans="1:16" ht="15.75" customHeight="1">
      <c r="A44" s="231" t="s">
        <v>720</v>
      </c>
      <c r="B44" s="337">
        <f>+'OLD...Tabs'!D51</f>
        <v>14.935573108788182</v>
      </c>
      <c r="C44" s="337">
        <f>+'OLD...Tabs'!D82</f>
        <v>30.900603664301819</v>
      </c>
      <c r="D44" s="337">
        <f>+'OLD...Tabs'!D112</f>
        <v>0</v>
      </c>
      <c r="E44" s="337">
        <f>+'OLD...Tabs'!D143</f>
        <v>31.252593863265364</v>
      </c>
      <c r="F44" s="337">
        <f>+'OLD...Tabs'!D174</f>
        <v>0</v>
      </c>
      <c r="G44" s="337">
        <f>+'OLD...Tabs'!D204</f>
        <v>0</v>
      </c>
      <c r="H44" s="339">
        <f>+'OLD...Tabs'!D19</f>
        <v>18.791402811309673</v>
      </c>
      <c r="I44" s="339">
        <f>+'OLD...Tabs'!D266</f>
        <v>0</v>
      </c>
      <c r="J44" s="337">
        <f>+'OLD...Tabs'!D297</f>
        <v>27.036470619326064</v>
      </c>
      <c r="K44" s="337">
        <f>+'OLD...Tabs'!D328</f>
        <v>27.715126943620977</v>
      </c>
      <c r="L44" s="337">
        <f>+'OLD...Tabs'!D359</f>
        <v>24.475975491776847</v>
      </c>
      <c r="M44" s="339">
        <f>+'OLD...Tabs'!D235</f>
        <v>27.216015052127201</v>
      </c>
      <c r="N44" s="340">
        <f>+'OLD...Tabs'!D420</f>
        <v>0</v>
      </c>
      <c r="O44" s="266">
        <f>+'OLD...Tabs'!D450</f>
        <v>0</v>
      </c>
      <c r="P44" s="339">
        <f>+'OLD...Tabs'!D390</f>
        <v>0</v>
      </c>
    </row>
    <row r="45" spans="1:16" ht="15.75" customHeight="1">
      <c r="A45" s="231" t="s">
        <v>675</v>
      </c>
      <c r="B45" s="337">
        <f>+'OLD...Tabs'!D52</f>
        <v>14.266971054517064</v>
      </c>
      <c r="C45" s="337">
        <f>+'OLD...Tabs'!D83</f>
        <v>21.463436984543954</v>
      </c>
      <c r="D45" s="337">
        <f>+'OLD...Tabs'!D113</f>
        <v>16.676404756450079</v>
      </c>
      <c r="E45" s="337">
        <f>+'OLD...Tabs'!D144</f>
        <v>38.737147412987298</v>
      </c>
      <c r="F45" s="337">
        <f>+'OLD...Tabs'!D175</f>
        <v>25.90328492109078</v>
      </c>
      <c r="G45" s="337">
        <f>+'OLD...Tabs'!D205</f>
        <v>7.3108616322799875</v>
      </c>
      <c r="H45" s="339">
        <f>+'OLD...Tabs'!D20</f>
        <v>16.96503858769918</v>
      </c>
      <c r="I45" s="339">
        <f>+'OLD...Tabs'!D267</f>
        <v>0</v>
      </c>
      <c r="J45" s="337">
        <f>+'OLD...Tabs'!D298</f>
        <v>44.272406020699933</v>
      </c>
      <c r="K45" s="337">
        <f>+'OLD...Tabs'!D329</f>
        <v>50.885575203273476</v>
      </c>
      <c r="L45" s="337">
        <f>+'OLD...Tabs'!D360</f>
        <v>52.508787389400098</v>
      </c>
      <c r="M45" s="339">
        <f>+'OLD...Tabs'!D236</f>
        <v>48.071291222639402</v>
      </c>
      <c r="N45" s="340">
        <f>+'OLD...Tabs'!D421</f>
        <v>0</v>
      </c>
      <c r="O45" s="266">
        <f>+'OLD...Tabs'!D451</f>
        <v>0</v>
      </c>
      <c r="P45" s="339">
        <f>+'OLD...Tabs'!D391</f>
        <v>0</v>
      </c>
    </row>
    <row r="46" spans="1:16" ht="15.75" customHeight="1">
      <c r="A46" s="231" t="s">
        <v>676</v>
      </c>
      <c r="B46" s="337">
        <f>+'OLD...Tabs'!D53</f>
        <v>14.409630535877769</v>
      </c>
      <c r="C46" s="337">
        <f>+'OLD...Tabs'!D84</f>
        <v>0</v>
      </c>
      <c r="D46" s="337">
        <f>+'OLD...Tabs'!D114</f>
        <v>25.815637000017485</v>
      </c>
      <c r="E46" s="337">
        <f>+'OLD...Tabs'!D145</f>
        <v>32.745487826480598</v>
      </c>
      <c r="F46" s="337">
        <f>+'OLD...Tabs'!D176</f>
        <v>25.558798719518872</v>
      </c>
      <c r="G46" s="337">
        <f>+'OLD...Tabs'!D206</f>
        <v>25.8834662505779</v>
      </c>
      <c r="H46" s="339">
        <f>+'OLD...Tabs'!D21</f>
        <v>20.519713719617634</v>
      </c>
      <c r="I46" s="339">
        <f>+'OLD...Tabs'!D268</f>
        <v>34.224133156784461</v>
      </c>
      <c r="J46" s="337">
        <f>+'OLD...Tabs'!D299</f>
        <v>26.368801747383134</v>
      </c>
      <c r="K46" s="337">
        <f>+'OLD...Tabs'!D330</f>
        <v>31.894455487581293</v>
      </c>
      <c r="L46" s="337">
        <f>+'OLD...Tabs'!D361</f>
        <v>31.750123915544155</v>
      </c>
      <c r="M46" s="339">
        <f>+'OLD...Tabs'!D237</f>
        <v>29.849291615619013</v>
      </c>
      <c r="N46" s="340">
        <f>+'OLD...Tabs'!D422</f>
        <v>0</v>
      </c>
      <c r="O46" s="266">
        <f>+'OLD...Tabs'!D452</f>
        <v>0</v>
      </c>
      <c r="P46" s="339">
        <f>+'OLD...Tabs'!D392</f>
        <v>0</v>
      </c>
    </row>
    <row r="47" spans="1:16" s="278" customFormat="1" ht="16.5" customHeight="1">
      <c r="A47" s="231" t="s">
        <v>677</v>
      </c>
      <c r="B47" s="337">
        <f>+'OLD...Tabs'!D54</f>
        <v>10.36329619034877</v>
      </c>
      <c r="C47" s="337">
        <f>+'OLD...Tabs'!D85</f>
        <v>0</v>
      </c>
      <c r="D47" s="337">
        <f>+'OLD...Tabs'!D115</f>
        <v>7.8773356037945952</v>
      </c>
      <c r="E47" s="337">
        <f>+'OLD...Tabs'!D146</f>
        <v>17.353091221594894</v>
      </c>
      <c r="F47" s="337">
        <f>+'OLD...Tabs'!D177</f>
        <v>8.1708842490137581</v>
      </c>
      <c r="G47" s="337">
        <f>+'OLD...Tabs'!D207</f>
        <v>21.131890730000801</v>
      </c>
      <c r="H47" s="339">
        <f>+'OLD...Tabs'!D22</f>
        <v>12.006505130126788</v>
      </c>
      <c r="I47" s="339">
        <f>+'OLD...Tabs'!D269</f>
        <v>0</v>
      </c>
      <c r="J47" s="337">
        <f>+'OLD...Tabs'!D300</f>
        <v>36.583909977229013</v>
      </c>
      <c r="K47" s="337">
        <f>+'OLD...Tabs'!D331</f>
        <v>33.981118878756043</v>
      </c>
      <c r="L47" s="337">
        <f>+'OLD...Tabs'!D362</f>
        <v>24.994971893738217</v>
      </c>
      <c r="M47" s="339">
        <f>+'OLD...Tabs'!D238</f>
        <v>33.752318460794221</v>
      </c>
      <c r="N47" s="340">
        <f>+'OLD...Tabs'!D423</f>
        <v>0</v>
      </c>
      <c r="O47" s="266">
        <f>+'OLD...Tabs'!D453</f>
        <v>0</v>
      </c>
      <c r="P47" s="339">
        <f>+'OLD...Tabs'!D393</f>
        <v>0</v>
      </c>
    </row>
    <row r="48" spans="1:16" s="278" customFormat="1" ht="14.25" customHeight="1">
      <c r="H48" s="353"/>
      <c r="I48" s="353"/>
      <c r="M48" s="353"/>
      <c r="N48" s="353"/>
      <c r="P48" s="353"/>
    </row>
    <row r="49" spans="1:16" s="278" customFormat="1" ht="15" customHeight="1">
      <c r="A49" s="231" t="s">
        <v>678</v>
      </c>
      <c r="B49" s="337">
        <f>+'OLD...Tabs'!D56</f>
        <v>15.717134476481977</v>
      </c>
      <c r="C49" s="337">
        <f>+'OLD...Tabs'!D87</f>
        <v>22.014682975593232</v>
      </c>
      <c r="D49" s="337">
        <f>+'OLD...Tabs'!D117</f>
        <v>28.735152969790889</v>
      </c>
      <c r="E49" s="337">
        <f>+'OLD...Tabs'!D148</f>
        <v>0</v>
      </c>
      <c r="F49" s="337">
        <f>+'OLD...Tabs'!D179</f>
        <v>18.038812382476618</v>
      </c>
      <c r="G49" s="337">
        <f>+'OLD...Tabs'!D209</f>
        <v>0</v>
      </c>
      <c r="H49" s="339">
        <f>+'OLD...Tabs'!D24</f>
        <v>21.359576737654425</v>
      </c>
      <c r="I49" s="339">
        <f>+'OLD...Tabs'!D271</f>
        <v>0</v>
      </c>
      <c r="J49" s="337">
        <f>+'OLD...Tabs'!D302</f>
        <v>28.028902800524722</v>
      </c>
      <c r="K49" s="337">
        <f>+'OLD...Tabs'!D333</f>
        <v>30.019412460189812</v>
      </c>
      <c r="L49" s="337">
        <f>+'OLD...Tabs'!D364</f>
        <v>30.61797205386549</v>
      </c>
      <c r="M49" s="339">
        <f>+'OLD...Tabs'!D240</f>
        <v>28.994477694274238</v>
      </c>
      <c r="N49" s="340">
        <f>+'OLD...Tabs'!D425</f>
        <v>0</v>
      </c>
      <c r="O49" s="266">
        <f>+'OLD...Tabs'!D455</f>
        <v>0</v>
      </c>
      <c r="P49" s="339">
        <f>+'OLD...Tabs'!D395</f>
        <v>0</v>
      </c>
    </row>
    <row r="50" spans="1:16" s="278" customFormat="1" ht="12.5">
      <c r="A50" s="231" t="s">
        <v>679</v>
      </c>
      <c r="B50" s="337">
        <f>+'OLD...Tabs'!D57</f>
        <v>0</v>
      </c>
      <c r="C50" s="337">
        <f>+'OLD...Tabs'!D88</f>
        <v>0</v>
      </c>
      <c r="D50" s="337">
        <f>+'OLD...Tabs'!D118</f>
        <v>0</v>
      </c>
      <c r="E50" s="337">
        <f>+'OLD...Tabs'!D149</f>
        <v>0</v>
      </c>
      <c r="F50" s="337">
        <f>+'OLD...Tabs'!D180</f>
        <v>0</v>
      </c>
      <c r="G50" s="337">
        <f>+'OLD...Tabs'!D210</f>
        <v>0</v>
      </c>
      <c r="H50" s="339">
        <f>+'OLD...Tabs'!D25</f>
        <v>0</v>
      </c>
      <c r="I50" s="339">
        <f>+'OLD...Tabs'!D272</f>
        <v>0</v>
      </c>
      <c r="J50" s="337">
        <f>+'OLD...Tabs'!D303</f>
        <v>0</v>
      </c>
      <c r="K50" s="337">
        <f>+'OLD...Tabs'!D334</f>
        <v>0</v>
      </c>
      <c r="L50" s="337">
        <f>+'OLD...Tabs'!D365</f>
        <v>0</v>
      </c>
      <c r="M50" s="339">
        <f>+'OLD...Tabs'!D241</f>
        <v>0</v>
      </c>
      <c r="N50" s="340">
        <f>+'OLD...Tabs'!D426</f>
        <v>0</v>
      </c>
      <c r="O50" s="266">
        <f>+'OLD...Tabs'!D456</f>
        <v>0</v>
      </c>
      <c r="P50" s="339">
        <f>+'OLD...Tabs'!D396</f>
        <v>0</v>
      </c>
    </row>
    <row r="51" spans="1:16" s="278" customFormat="1" ht="16.5" customHeight="1">
      <c r="A51" s="231" t="s">
        <v>680</v>
      </c>
      <c r="B51" s="337">
        <f>+'OLD...Tabs'!D58</f>
        <v>10.663423117546616</v>
      </c>
      <c r="C51" s="337">
        <f>+'OLD...Tabs'!D89</f>
        <v>0.39690946977722114</v>
      </c>
      <c r="D51" s="337">
        <f>+'OLD...Tabs'!D119</f>
        <v>9.4312248595622297</v>
      </c>
      <c r="E51" s="337">
        <f>+'OLD...Tabs'!D150</f>
        <v>0</v>
      </c>
      <c r="F51" s="337">
        <f>+'OLD...Tabs'!D181</f>
        <v>0</v>
      </c>
      <c r="G51" s="337">
        <f>+'OLD...Tabs'!D211</f>
        <v>24.852709497809524</v>
      </c>
      <c r="H51" s="339">
        <f>+'OLD...Tabs'!D26</f>
        <v>9.7707482473826435</v>
      </c>
      <c r="I51" s="339">
        <f>+'OLD...Tabs'!D273</f>
        <v>0</v>
      </c>
      <c r="J51" s="337">
        <f>+'OLD...Tabs'!D304</f>
        <v>28.924798610776136</v>
      </c>
      <c r="K51" s="337">
        <f>+'OLD...Tabs'!D335</f>
        <v>32.957034929649346</v>
      </c>
      <c r="L51" s="337">
        <f>+'OLD...Tabs'!D366</f>
        <v>38.574732408871888</v>
      </c>
      <c r="M51" s="339">
        <f>+'OLD...Tabs'!D242</f>
        <v>31.284732281598146</v>
      </c>
      <c r="N51" s="340">
        <f>+'OLD...Tabs'!D427</f>
        <v>0</v>
      </c>
      <c r="O51" s="266">
        <f>+'OLD...Tabs'!D457</f>
        <v>0</v>
      </c>
      <c r="P51" s="339">
        <f>+'OLD...Tabs'!D397</f>
        <v>0</v>
      </c>
    </row>
    <row r="52" spans="1:16" s="231" customFormat="1">
      <c r="A52" s="231" t="s">
        <v>681</v>
      </c>
      <c r="B52" s="337">
        <f>+'OLD...Tabs'!D59</f>
        <v>11.676187889005185</v>
      </c>
      <c r="C52" s="337">
        <f>+'OLD...Tabs'!D90</f>
        <v>0</v>
      </c>
      <c r="D52" s="337">
        <f>+'OLD...Tabs'!D120</f>
        <v>17.708978810801543</v>
      </c>
      <c r="E52" s="337">
        <f>+'OLD...Tabs'!D151</f>
        <v>0</v>
      </c>
      <c r="F52" s="337">
        <f>+'OLD...Tabs'!D182</f>
        <v>16.806103355903456</v>
      </c>
      <c r="G52" s="337">
        <f>+'OLD...Tabs'!D212</f>
        <v>28.08151261451091</v>
      </c>
      <c r="H52" s="339">
        <f>+'OLD...Tabs'!D27</f>
        <v>16.085937672711733</v>
      </c>
      <c r="I52" s="339">
        <f>+'OLD...Tabs'!D274</f>
        <v>31.7985677561513</v>
      </c>
      <c r="J52" s="337">
        <f>+'OLD...Tabs'!D305</f>
        <v>0</v>
      </c>
      <c r="K52" s="337">
        <f>+'OLD...Tabs'!D336</f>
        <v>23.490629387705269</v>
      </c>
      <c r="L52" s="337">
        <f>+'OLD...Tabs'!D367</f>
        <v>33.096244531822599</v>
      </c>
      <c r="M52" s="354">
        <f>+'OLD...Tabs'!D243</f>
        <v>31.087373544698686</v>
      </c>
      <c r="N52" s="340">
        <f>+'OLD...Tabs'!D428</f>
        <v>0</v>
      </c>
      <c r="O52" s="266">
        <f>+'OLD...Tabs'!D458</f>
        <v>0</v>
      </c>
      <c r="P52" s="339">
        <f>+'OLD...Tabs'!D398</f>
        <v>0</v>
      </c>
    </row>
    <row r="53" spans="1:16" ht="24" customHeight="1">
      <c r="A53" s="493" t="s">
        <v>840</v>
      </c>
      <c r="B53" s="493"/>
      <c r="C53" s="493"/>
      <c r="D53" s="493"/>
      <c r="E53" s="493"/>
      <c r="F53" s="493"/>
      <c r="G53" s="493"/>
      <c r="H53" s="493"/>
      <c r="I53" s="493"/>
      <c r="J53" s="493"/>
      <c r="K53" s="493"/>
      <c r="L53" s="493"/>
      <c r="M53" s="493"/>
      <c r="N53" s="493"/>
      <c r="O53" s="493"/>
      <c r="P53" s="493"/>
    </row>
    <row r="54" spans="1:16" ht="23.25" customHeight="1">
      <c r="A54" s="490" t="s">
        <v>735</v>
      </c>
      <c r="B54" s="491"/>
      <c r="C54" s="491"/>
      <c r="D54" s="491"/>
      <c r="E54" s="491"/>
      <c r="F54" s="491"/>
      <c r="G54" s="491"/>
      <c r="H54" s="491"/>
      <c r="I54" s="491"/>
      <c r="J54" s="491"/>
      <c r="K54" s="491"/>
      <c r="L54" s="491"/>
      <c r="M54" s="491"/>
      <c r="N54" s="491"/>
      <c r="O54" s="491"/>
      <c r="P54" s="491"/>
    </row>
    <row r="55" spans="1:16">
      <c r="A55" s="278"/>
      <c r="B55" s="278"/>
      <c r="C55" s="278"/>
      <c r="D55" s="278"/>
      <c r="E55" s="278"/>
      <c r="F55" s="278"/>
      <c r="G55" s="278"/>
      <c r="H55" s="278"/>
      <c r="I55" s="278"/>
      <c r="J55" s="278"/>
      <c r="K55" s="278"/>
      <c r="L55" s="278"/>
      <c r="M55" s="348"/>
      <c r="N55" s="278"/>
      <c r="O55" s="278"/>
      <c r="P55" s="284" t="s">
        <v>839</v>
      </c>
    </row>
    <row r="56" spans="1:16" s="332" customFormat="1" ht="18">
      <c r="A56" s="226" t="s">
        <v>736</v>
      </c>
      <c r="B56" s="227"/>
      <c r="C56" s="227"/>
      <c r="D56" s="227"/>
      <c r="E56" s="227"/>
      <c r="F56" s="227"/>
      <c r="G56" s="321"/>
      <c r="H56" s="321"/>
      <c r="I56" s="355" t="s">
        <v>581</v>
      </c>
      <c r="J56" s="356"/>
      <c r="K56" s="356"/>
      <c r="L56" s="356"/>
      <c r="M56" s="356"/>
      <c r="N56" s="159"/>
      <c r="O56" s="159"/>
      <c r="P56" s="159"/>
    </row>
    <row r="57" spans="1:16" s="336" customFormat="1" ht="13">
      <c r="A57" s="232"/>
      <c r="B57" s="228"/>
      <c r="C57" s="228"/>
      <c r="D57" s="228"/>
      <c r="E57" s="228"/>
      <c r="F57" s="228"/>
      <c r="G57" s="228"/>
      <c r="H57" s="228"/>
      <c r="I57" s="357"/>
      <c r="J57" s="357"/>
      <c r="K57" s="357"/>
      <c r="L57" s="357"/>
      <c r="M57" s="357"/>
      <c r="N57" s="231"/>
      <c r="O57" s="231"/>
      <c r="P57" s="231"/>
    </row>
    <row r="58" spans="1:16" ht="15" customHeight="1">
      <c r="A58" s="323" t="s">
        <v>737</v>
      </c>
      <c r="B58" s="227"/>
      <c r="C58" s="227"/>
      <c r="D58" s="227"/>
      <c r="E58" s="227"/>
      <c r="F58" s="227"/>
      <c r="G58" s="321"/>
      <c r="H58" s="321"/>
      <c r="I58" s="355" t="s">
        <v>581</v>
      </c>
      <c r="J58" s="356"/>
      <c r="K58" s="356"/>
      <c r="L58" s="356"/>
      <c r="M58" s="356"/>
    </row>
    <row r="59" spans="1:16" ht="15.75" customHeight="1">
      <c r="A59" s="323" t="s">
        <v>738</v>
      </c>
      <c r="B59" s="228"/>
      <c r="C59" s="228"/>
      <c r="D59" s="228"/>
      <c r="E59" s="228"/>
      <c r="F59" s="228"/>
      <c r="G59" s="321"/>
      <c r="H59" s="321"/>
      <c r="I59" s="355" t="s">
        <v>581</v>
      </c>
      <c r="J59" s="356"/>
      <c r="K59" s="356"/>
      <c r="L59" s="356"/>
      <c r="M59" s="356"/>
    </row>
    <row r="60" spans="1:16" ht="15.75" customHeight="1">
      <c r="A60" s="323" t="s">
        <v>781</v>
      </c>
      <c r="B60" s="228"/>
      <c r="C60" s="228"/>
      <c r="D60" s="228"/>
      <c r="E60" s="228"/>
      <c r="F60" s="228"/>
      <c r="G60" s="321"/>
      <c r="H60" s="321"/>
      <c r="I60" s="355" t="s">
        <v>581</v>
      </c>
      <c r="J60" s="356"/>
      <c r="K60" s="356"/>
      <c r="L60" s="356"/>
      <c r="M60" s="356"/>
    </row>
    <row r="61" spans="1:16" ht="15.75" customHeight="1">
      <c r="A61" s="358"/>
      <c r="B61" s="359"/>
      <c r="C61" s="359"/>
      <c r="D61" s="359"/>
      <c r="E61" s="359"/>
      <c r="F61" s="359"/>
      <c r="G61" s="359"/>
      <c r="H61" s="359"/>
    </row>
    <row r="62" spans="1:16" ht="15.75" customHeight="1">
      <c r="A62" s="327"/>
      <c r="B62" s="328" t="s">
        <v>565</v>
      </c>
      <c r="C62" s="328"/>
      <c r="D62" s="328"/>
      <c r="E62" s="328"/>
      <c r="F62" s="328"/>
      <c r="G62" s="328"/>
      <c r="H62" s="328"/>
      <c r="I62" s="336"/>
      <c r="J62" s="336"/>
      <c r="K62" s="336"/>
      <c r="L62" s="336"/>
      <c r="M62" s="336"/>
      <c r="N62" s="332"/>
      <c r="O62" s="332"/>
      <c r="P62" s="332"/>
    </row>
    <row r="63" spans="1:16" ht="15.75" customHeight="1">
      <c r="A63" s="333"/>
      <c r="B63" s="328">
        <v>1</v>
      </c>
      <c r="C63" s="328">
        <v>2</v>
      </c>
      <c r="D63" s="328">
        <v>3</v>
      </c>
      <c r="E63" s="328">
        <v>4</v>
      </c>
      <c r="F63" s="328">
        <v>5</v>
      </c>
      <c r="G63" s="328">
        <v>6</v>
      </c>
      <c r="H63" s="329" t="s">
        <v>731</v>
      </c>
      <c r="I63" s="336"/>
      <c r="J63" s="336"/>
      <c r="K63" s="336"/>
      <c r="L63" s="336"/>
      <c r="M63" s="336"/>
      <c r="N63" s="336"/>
      <c r="O63" s="336"/>
      <c r="P63" s="336"/>
    </row>
    <row r="64" spans="1:16" ht="15.75" customHeight="1">
      <c r="A64" s="231" t="s">
        <v>666</v>
      </c>
      <c r="B64" s="360">
        <f>+'OLD...Tabs'!J41+'OLD...Tabs'!K41</f>
        <v>74.002820917253089</v>
      </c>
      <c r="C64" s="360">
        <f>+'OLD...Tabs'!J72+'OLD...Tabs'!K72</f>
        <v>69.230128832185159</v>
      </c>
      <c r="D64" s="360">
        <f>+'OLD...Tabs'!J102+'OLD...Tabs'!K102</f>
        <v>42.070459852703429</v>
      </c>
      <c r="E64" s="360">
        <f>+'OLD...Tabs'!J133+'OLD...Tabs'!K133</f>
        <v>62.942045355808489</v>
      </c>
      <c r="F64" s="360">
        <f>+'OLD...Tabs'!J164+'OLD...Tabs'!K164</f>
        <v>10.756873546535601</v>
      </c>
      <c r="G64" s="360">
        <f>+'OLD...Tabs'!J194+'OLD...Tabs'!K194</f>
        <v>1.2626262626262625</v>
      </c>
      <c r="H64" s="341">
        <f>+'OLD...Tabs'!J9+'OLD...Tabs'!K9</f>
        <v>58.936346757365143</v>
      </c>
      <c r="I64" s="361"/>
      <c r="J64" s="362"/>
      <c r="K64" s="362"/>
      <c r="L64" s="362"/>
      <c r="M64" s="362"/>
    </row>
    <row r="65" spans="1:16" ht="15.75" customHeight="1">
      <c r="A65" s="231" t="s">
        <v>667</v>
      </c>
      <c r="B65" s="337">
        <f>+'OLD...Tabs'!J42+'OLD...Tabs'!K42</f>
        <v>67.806703670455548</v>
      </c>
      <c r="C65" s="337">
        <f>+'OLD...Tabs'!J73+'OLD...Tabs'!K73</f>
        <v>70.760110595623033</v>
      </c>
      <c r="D65" s="337">
        <f>+'OLD...Tabs'!J103+'OLD...Tabs'!K103</f>
        <v>31.454831932773111</v>
      </c>
      <c r="E65" s="337">
        <f>+'OLD...Tabs'!J134+'OLD...Tabs'!K134</f>
        <v>23.251381741947782</v>
      </c>
      <c r="F65" s="337">
        <f>+'OLD...Tabs'!J165+'OLD...Tabs'!K165</f>
        <v>0</v>
      </c>
      <c r="G65" s="337">
        <f>+'OLD...Tabs'!J195+'OLD...Tabs'!K195</f>
        <v>67.285382830626446</v>
      </c>
      <c r="H65" s="339">
        <f>+'OLD...Tabs'!J10+'OLD...Tabs'!K10</f>
        <v>45.63042028018679</v>
      </c>
      <c r="I65" s="361"/>
      <c r="J65" s="362"/>
      <c r="K65" s="362"/>
      <c r="L65" s="362"/>
      <c r="M65" s="362"/>
    </row>
    <row r="66" spans="1:16" ht="15.75" customHeight="1">
      <c r="A66" s="231" t="s">
        <v>668</v>
      </c>
      <c r="B66" s="337">
        <f>+'OLD...Tabs'!J43+'OLD...Tabs'!K43</f>
        <v>86.170024382602534</v>
      </c>
      <c r="C66" s="337">
        <f>+'OLD...Tabs'!J74+'OLD...Tabs'!K74</f>
        <v>0</v>
      </c>
      <c r="D66" s="337">
        <f>+'OLD...Tabs'!J104+'OLD...Tabs'!K104</f>
        <v>77.400505369551482</v>
      </c>
      <c r="E66" s="337">
        <f>+'OLD...Tabs'!J135+'OLD...Tabs'!K135</f>
        <v>0</v>
      </c>
      <c r="F66" s="337">
        <f>+'OLD...Tabs'!J166+'OLD...Tabs'!K166</f>
        <v>0</v>
      </c>
      <c r="G66" s="337">
        <f>+'OLD...Tabs'!J196+'OLD...Tabs'!K196</f>
        <v>0</v>
      </c>
      <c r="H66" s="339">
        <f>+'OLD...Tabs'!J11+'OLD...Tabs'!K11</f>
        <v>85.473697410495959</v>
      </c>
      <c r="I66" s="361"/>
      <c r="J66" s="362"/>
      <c r="K66" s="362"/>
      <c r="L66" s="362"/>
      <c r="M66" s="362"/>
    </row>
    <row r="67" spans="1:16" ht="15.75" customHeight="1">
      <c r="A67" s="231" t="s">
        <v>669</v>
      </c>
      <c r="B67" s="337">
        <f>+'OLD...Tabs'!J44+'OLD...Tabs'!K44</f>
        <v>0</v>
      </c>
      <c r="C67" s="337">
        <f>+'OLD...Tabs'!J75+'OLD...Tabs'!K75</f>
        <v>0</v>
      </c>
      <c r="D67" s="337">
        <f>+'OLD...Tabs'!J105+'OLD...Tabs'!K105</f>
        <v>0</v>
      </c>
      <c r="E67" s="337">
        <f>+'OLD...Tabs'!J136+'OLD...Tabs'!K136</f>
        <v>0</v>
      </c>
      <c r="F67" s="337">
        <f>+'OLD...Tabs'!J167+'OLD...Tabs'!K167</f>
        <v>0</v>
      </c>
      <c r="G67" s="337">
        <f>+'OLD...Tabs'!J197+'OLD...Tabs'!K197</f>
        <v>0</v>
      </c>
      <c r="H67" s="339">
        <f>+'OLD...Tabs'!J12+'OLD...Tabs'!K12</f>
        <v>0</v>
      </c>
      <c r="I67" s="361"/>
      <c r="J67" s="362"/>
      <c r="K67" s="362"/>
      <c r="L67" s="362"/>
      <c r="M67" s="362"/>
    </row>
    <row r="68" spans="1:16" ht="15.75" customHeight="1">
      <c r="A68" s="231"/>
      <c r="B68" s="337"/>
      <c r="C68" s="337"/>
      <c r="D68" s="337"/>
      <c r="E68" s="337"/>
      <c r="F68" s="337"/>
      <c r="G68" s="337"/>
      <c r="H68" s="339"/>
      <c r="I68" s="361"/>
      <c r="J68" s="362"/>
      <c r="K68" s="362"/>
      <c r="L68" s="362"/>
      <c r="M68" s="362"/>
    </row>
    <row r="69" spans="1:16" ht="15.75" customHeight="1">
      <c r="A69" s="231" t="s">
        <v>670</v>
      </c>
      <c r="B69" s="337">
        <f>+'OLD...Tabs'!J46+'OLD...Tabs'!K46</f>
        <v>93.954664300783222</v>
      </c>
      <c r="C69" s="337">
        <f>+'OLD...Tabs'!J77+'OLD...Tabs'!K77</f>
        <v>73.833292020641323</v>
      </c>
      <c r="D69" s="337">
        <f>+'OLD...Tabs'!J107+'OLD...Tabs'!K107</f>
        <v>33.653548947360676</v>
      </c>
      <c r="E69" s="337">
        <f>+'OLD...Tabs'!J138+'OLD...Tabs'!K138</f>
        <v>78.921469602556726</v>
      </c>
      <c r="F69" s="337">
        <f>+'OLD...Tabs'!J169+'OLD...Tabs'!K169</f>
        <v>77.584359935725757</v>
      </c>
      <c r="G69" s="337">
        <f>+'OLD...Tabs'!J199+'OLD...Tabs'!K199</f>
        <v>11.788953009068425</v>
      </c>
      <c r="H69" s="339">
        <f>+'OLD...Tabs'!J14+'OLD...Tabs'!K14</f>
        <v>76.153858806191579</v>
      </c>
      <c r="I69" s="361"/>
      <c r="J69" s="362"/>
      <c r="K69" s="362"/>
      <c r="L69" s="362"/>
      <c r="M69" s="362"/>
    </row>
    <row r="70" spans="1:16" ht="15.75" customHeight="1">
      <c r="A70" s="231" t="s">
        <v>671</v>
      </c>
      <c r="B70" s="337">
        <f>+'OLD...Tabs'!J47+'OLD...Tabs'!K47</f>
        <v>76.326090137547553</v>
      </c>
      <c r="C70" s="337">
        <f>+'OLD...Tabs'!J78+'OLD...Tabs'!K78</f>
        <v>0</v>
      </c>
      <c r="D70" s="337">
        <f>+'OLD...Tabs'!J108+'OLD...Tabs'!K108</f>
        <v>45.727700745033111</v>
      </c>
      <c r="E70" s="337">
        <f>+'OLD...Tabs'!J139+'OLD...Tabs'!K139</f>
        <v>79.310344827586206</v>
      </c>
      <c r="F70" s="337">
        <f>+'OLD...Tabs'!J170+'OLD...Tabs'!K170</f>
        <v>0</v>
      </c>
      <c r="G70" s="337">
        <f>+'OLD...Tabs'!J200+'OLD...Tabs'!K200</f>
        <v>0</v>
      </c>
      <c r="H70" s="339">
        <f>+'OLD...Tabs'!J15+'OLD...Tabs'!K15</f>
        <v>61.582715856797449</v>
      </c>
      <c r="I70" s="361"/>
      <c r="J70" s="362"/>
      <c r="K70" s="362"/>
      <c r="L70" s="362"/>
      <c r="M70" s="362"/>
    </row>
    <row r="71" spans="1:16" ht="15.75" customHeight="1">
      <c r="A71" s="231" t="s">
        <v>672</v>
      </c>
      <c r="B71" s="337">
        <f>+'OLD...Tabs'!J48+'OLD...Tabs'!K48</f>
        <v>94.141769185705897</v>
      </c>
      <c r="C71" s="337">
        <f>+'OLD...Tabs'!J79+'OLD...Tabs'!K79</f>
        <v>82.276532530538404</v>
      </c>
      <c r="D71" s="337">
        <f>+'OLD...Tabs'!J109+'OLD...Tabs'!K109</f>
        <v>57.942735342003417</v>
      </c>
      <c r="E71" s="337">
        <f>+'OLD...Tabs'!J140+'OLD...Tabs'!K140</f>
        <v>44.201611940657131</v>
      </c>
      <c r="F71" s="337">
        <f>+'OLD...Tabs'!J171+'OLD...Tabs'!K171</f>
        <v>86.637931034482719</v>
      </c>
      <c r="G71" s="337">
        <f>+'OLD...Tabs'!J201+'OLD...Tabs'!K201</f>
        <v>0</v>
      </c>
      <c r="H71" s="339">
        <f>+'OLD...Tabs'!J16+'OLD...Tabs'!K16</f>
        <v>72.327921571220159</v>
      </c>
      <c r="I71" s="361"/>
      <c r="J71" s="362"/>
      <c r="K71" s="362"/>
      <c r="L71" s="362"/>
      <c r="M71" s="362"/>
    </row>
    <row r="72" spans="1:16" ht="15.75" customHeight="1">
      <c r="A72" s="231" t="s">
        <v>673</v>
      </c>
      <c r="B72" s="337">
        <f>+'OLD...Tabs'!J49+'OLD...Tabs'!K49</f>
        <v>87.589850014149604</v>
      </c>
      <c r="C72" s="337">
        <f>+'OLD...Tabs'!J80+'OLD...Tabs'!K80</f>
        <v>77.957090672108933</v>
      </c>
      <c r="D72" s="337">
        <f>+'OLD...Tabs'!J110+'OLD...Tabs'!K110</f>
        <v>75.810595725329691</v>
      </c>
      <c r="E72" s="337">
        <f>+'OLD...Tabs'!J141+'OLD...Tabs'!K141</f>
        <v>62.010021928472661</v>
      </c>
      <c r="F72" s="337">
        <f>+'OLD...Tabs'!J172+'OLD...Tabs'!K172</f>
        <v>87.002499519323209</v>
      </c>
      <c r="G72" s="337">
        <f>+'OLD...Tabs'!J202+'OLD...Tabs'!K202</f>
        <v>100</v>
      </c>
      <c r="H72" s="339">
        <f>+'OLD...Tabs'!J17+'OLD...Tabs'!K17</f>
        <v>52.186700878869594</v>
      </c>
      <c r="I72" s="361"/>
      <c r="J72" s="362"/>
      <c r="K72" s="362"/>
      <c r="L72" s="362"/>
      <c r="M72" s="362"/>
    </row>
    <row r="73" spans="1:16" ht="15.75" customHeight="1">
      <c r="A73" s="231"/>
      <c r="B73" s="337"/>
      <c r="C73" s="337"/>
      <c r="D73" s="337"/>
      <c r="E73" s="337"/>
      <c r="F73" s="337"/>
      <c r="G73" s="337"/>
      <c r="H73" s="339"/>
      <c r="I73" s="361"/>
      <c r="J73" s="362"/>
      <c r="K73" s="362"/>
      <c r="L73" s="362"/>
      <c r="M73" s="362"/>
    </row>
    <row r="74" spans="1:16" ht="15.75" customHeight="1">
      <c r="A74" s="231" t="s">
        <v>674</v>
      </c>
      <c r="B74" s="337">
        <f>+'OLD...Tabs'!J51+'OLD...Tabs'!K51</f>
        <v>75.877644730103754</v>
      </c>
      <c r="C74" s="337">
        <f>+'OLD...Tabs'!J82+'OLD...Tabs'!K82</f>
        <v>51.705455412819035</v>
      </c>
      <c r="D74" s="337">
        <f>+'OLD...Tabs'!J112+'OLD...Tabs'!K112</f>
        <v>0</v>
      </c>
      <c r="E74" s="337">
        <f>+'OLD...Tabs'!J143+'OLD...Tabs'!K143</f>
        <v>24.66816929626847</v>
      </c>
      <c r="F74" s="337">
        <f>+'OLD...Tabs'!J174+'OLD...Tabs'!K174</f>
        <v>0</v>
      </c>
      <c r="G74" s="337">
        <f>+'OLD...Tabs'!J204+'OLD...Tabs'!K204</f>
        <v>0</v>
      </c>
      <c r="H74" s="339">
        <f>+'OLD...Tabs'!J19+'OLD...Tabs'!K19</f>
        <v>64.546666337537957</v>
      </c>
      <c r="I74" s="361"/>
      <c r="J74" s="362"/>
      <c r="K74" s="362"/>
      <c r="L74" s="362"/>
      <c r="M74" s="362"/>
    </row>
    <row r="75" spans="1:16" ht="15.75" customHeight="1">
      <c r="A75" s="231" t="s">
        <v>675</v>
      </c>
      <c r="B75" s="337">
        <f>+'OLD...Tabs'!J52+'OLD...Tabs'!K52</f>
        <v>81.418646231464535</v>
      </c>
      <c r="C75" s="337">
        <f>+'OLD...Tabs'!J83+'OLD...Tabs'!K83</f>
        <v>38.921643738272095</v>
      </c>
      <c r="D75" s="337">
        <f>+'OLD...Tabs'!J113+'OLD...Tabs'!K113</f>
        <v>62.257461089850963</v>
      </c>
      <c r="E75" s="337">
        <f>+'OLD...Tabs'!J144+'OLD...Tabs'!K144</f>
        <v>35.625603531521591</v>
      </c>
      <c r="F75" s="337">
        <f>+'OLD...Tabs'!J175+'OLD...Tabs'!K175</f>
        <v>47.59326337802009</v>
      </c>
      <c r="G75" s="337">
        <f>+'OLD...Tabs'!J205+'OLD...Tabs'!K205</f>
        <v>83.673469387755105</v>
      </c>
      <c r="H75" s="339">
        <f>+'OLD...Tabs'!J20+'OLD...Tabs'!K20</f>
        <v>71.146185069567125</v>
      </c>
      <c r="I75" s="361"/>
      <c r="J75" s="362"/>
      <c r="K75" s="362"/>
      <c r="L75" s="362"/>
      <c r="M75" s="362"/>
    </row>
    <row r="76" spans="1:16" ht="15.75" customHeight="1">
      <c r="A76" s="231" t="s">
        <v>676</v>
      </c>
      <c r="B76" s="337">
        <f>+'OLD...Tabs'!J53+'OLD...Tabs'!K53</f>
        <v>79.367212531149889</v>
      </c>
      <c r="C76" s="337">
        <f>+'OLD...Tabs'!J84+'OLD...Tabs'!K84</f>
        <v>0</v>
      </c>
      <c r="D76" s="337">
        <f>+'OLD...Tabs'!J114+'OLD...Tabs'!K114</f>
        <v>76.998975455476852</v>
      </c>
      <c r="E76" s="337">
        <f>+'OLD...Tabs'!J145+'OLD...Tabs'!K145</f>
        <v>26.478508818249022</v>
      </c>
      <c r="F76" s="337">
        <f>+'OLD...Tabs'!J176+'OLD...Tabs'!K176</f>
        <v>42.724609375</v>
      </c>
      <c r="G76" s="337">
        <f>+'OLD...Tabs'!J206+'OLD...Tabs'!K206</f>
        <v>94.77124183006535</v>
      </c>
      <c r="H76" s="339">
        <f>+'OLD...Tabs'!J21+'OLD...Tabs'!K21</f>
        <v>70.336421785769062</v>
      </c>
      <c r="I76" s="361"/>
      <c r="J76" s="362"/>
      <c r="K76" s="362"/>
      <c r="L76" s="362"/>
      <c r="M76" s="362"/>
    </row>
    <row r="77" spans="1:16" s="278" customFormat="1">
      <c r="A77" s="231" t="s">
        <v>677</v>
      </c>
      <c r="B77" s="337">
        <f>+'OLD...Tabs'!J54+'OLD...Tabs'!K54</f>
        <v>76.059524713385471</v>
      </c>
      <c r="C77" s="337">
        <f>+'OLD...Tabs'!J85+'OLD...Tabs'!K85</f>
        <v>0</v>
      </c>
      <c r="D77" s="337">
        <f>+'OLD...Tabs'!J115+'OLD...Tabs'!K115</f>
        <v>66.192897078890482</v>
      </c>
      <c r="E77" s="337">
        <f>+'OLD...Tabs'!J146+'OLD...Tabs'!K146</f>
        <v>46.171428571428571</v>
      </c>
      <c r="F77" s="337">
        <f>+'OLD...Tabs'!J177+'OLD...Tabs'!K177</f>
        <v>79.520884520884522</v>
      </c>
      <c r="G77" s="337">
        <f>+'OLD...Tabs'!J207+'OLD...Tabs'!K207</f>
        <v>25.432454695222408</v>
      </c>
      <c r="H77" s="339">
        <f>+'OLD...Tabs'!J22+'OLD...Tabs'!K22</f>
        <v>73.139007303446178</v>
      </c>
      <c r="I77" s="361"/>
      <c r="J77" s="362"/>
      <c r="K77" s="362"/>
      <c r="L77" s="362"/>
      <c r="M77" s="362"/>
      <c r="N77" s="159"/>
      <c r="O77" s="159"/>
      <c r="P77" s="159"/>
    </row>
    <row r="78" spans="1:16" s="278" customFormat="1" ht="27.75" customHeight="1">
      <c r="A78" s="231"/>
      <c r="B78" s="337"/>
      <c r="C78" s="337"/>
      <c r="D78" s="337"/>
      <c r="E78" s="337"/>
      <c r="F78" s="337"/>
      <c r="G78" s="337"/>
      <c r="H78" s="339"/>
      <c r="I78" s="361"/>
      <c r="J78" s="362"/>
      <c r="K78" s="362"/>
      <c r="L78" s="362"/>
      <c r="M78" s="362"/>
      <c r="N78" s="159"/>
      <c r="O78" s="159"/>
      <c r="P78" s="159"/>
    </row>
    <row r="79" spans="1:16" s="278" customFormat="1">
      <c r="A79" s="231" t="s">
        <v>678</v>
      </c>
      <c r="B79" s="337">
        <f>+'OLD...Tabs'!J56+'OLD...Tabs'!K56</f>
        <v>68.981040774234501</v>
      </c>
      <c r="C79" s="337">
        <f>+'OLD...Tabs'!J87+'OLD...Tabs'!K87</f>
        <v>56.188314061988955</v>
      </c>
      <c r="D79" s="337">
        <f>+'OLD...Tabs'!J117+'OLD...Tabs'!K117</f>
        <v>41.962894309476546</v>
      </c>
      <c r="E79" s="337">
        <f>+'OLD...Tabs'!J148+'OLD...Tabs'!K148</f>
        <v>0</v>
      </c>
      <c r="F79" s="337">
        <f>+'OLD...Tabs'!J179+'OLD...Tabs'!K179</f>
        <v>14.709032488397</v>
      </c>
      <c r="G79" s="337">
        <f>+'OLD...Tabs'!J209+'OLD...Tabs'!K209</f>
        <v>0</v>
      </c>
      <c r="H79" s="339">
        <f>+'OLD...Tabs'!J24+'OLD...Tabs'!K24</f>
        <v>58.785104525014837</v>
      </c>
      <c r="I79" s="361"/>
      <c r="J79" s="362"/>
      <c r="K79" s="362"/>
      <c r="L79" s="362"/>
      <c r="M79" s="362"/>
      <c r="N79" s="159"/>
      <c r="O79" s="159"/>
      <c r="P79" s="159"/>
    </row>
    <row r="80" spans="1:16">
      <c r="A80" s="231" t="s">
        <v>679</v>
      </c>
      <c r="B80" s="337">
        <f>+'OLD...Tabs'!J57+'OLD...Tabs'!K57</f>
        <v>0</v>
      </c>
      <c r="C80" s="337">
        <f>+'OLD...Tabs'!J88+'OLD...Tabs'!K88</f>
        <v>0</v>
      </c>
      <c r="D80" s="337">
        <f>+'OLD...Tabs'!J118+'OLD...Tabs'!K118</f>
        <v>0</v>
      </c>
      <c r="E80" s="337">
        <f>+'OLD...Tabs'!J149+'OLD...Tabs'!K149</f>
        <v>0</v>
      </c>
      <c r="F80" s="337">
        <f>+'OLD...Tabs'!J180+'OLD...Tabs'!K180</f>
        <v>0</v>
      </c>
      <c r="G80" s="337">
        <f>+'OLD...Tabs'!J210+'OLD...Tabs'!K210</f>
        <v>0</v>
      </c>
      <c r="H80" s="339">
        <f>+'OLD...Tabs'!J25+'OLD...Tabs'!K25</f>
        <v>0</v>
      </c>
      <c r="I80" s="361"/>
      <c r="J80" s="362"/>
      <c r="K80" s="362"/>
      <c r="L80" s="362"/>
      <c r="M80" s="362"/>
    </row>
    <row r="81" spans="1:16" s="231" customFormat="1">
      <c r="A81" s="231" t="s">
        <v>680</v>
      </c>
      <c r="B81" s="337">
        <f>+'OLD...Tabs'!J58+'OLD...Tabs'!K58</f>
        <v>84.631523051201256</v>
      </c>
      <c r="C81" s="337">
        <f>+'OLD...Tabs'!J89+'OLD...Tabs'!K89</f>
        <v>87.576758409785938</v>
      </c>
      <c r="D81" s="337">
        <f>+'OLD...Tabs'!J119+'OLD...Tabs'!K119</f>
        <v>74.066104150084783</v>
      </c>
      <c r="E81" s="337">
        <f>+'OLD...Tabs'!J150+'OLD...Tabs'!K150</f>
        <v>0</v>
      </c>
      <c r="F81" s="337">
        <f>+'OLD...Tabs'!J181+'OLD...Tabs'!K181</f>
        <v>100</v>
      </c>
      <c r="G81" s="337">
        <f>+'OLD...Tabs'!J211+'OLD...Tabs'!K211</f>
        <v>0</v>
      </c>
      <c r="H81" s="339">
        <f>+'OLD...Tabs'!J26+'OLD...Tabs'!K26</f>
        <v>83.786004976364993</v>
      </c>
      <c r="I81" s="361"/>
      <c r="J81" s="362"/>
      <c r="K81" s="362"/>
      <c r="L81" s="362"/>
      <c r="M81" s="362"/>
      <c r="N81" s="159"/>
      <c r="O81" s="159"/>
      <c r="P81" s="159"/>
    </row>
    <row r="82" spans="1:16">
      <c r="A82" s="237" t="s">
        <v>681</v>
      </c>
      <c r="B82" s="343">
        <f>+'OLD...Tabs'!J59+'OLD...Tabs'!K59</f>
        <v>71.386115625725566</v>
      </c>
      <c r="C82" s="343">
        <f>+'OLD...Tabs'!J90+'OLD...Tabs'!K90</f>
        <v>0</v>
      </c>
      <c r="D82" s="343">
        <f>+'OLD...Tabs'!J120+'OLD...Tabs'!K120</f>
        <v>67.867052364366259</v>
      </c>
      <c r="E82" s="343">
        <f>+'OLD...Tabs'!J151+'OLD...Tabs'!K151</f>
        <v>0</v>
      </c>
      <c r="F82" s="343">
        <f>+'OLD...Tabs'!J182+'OLD...Tabs'!K182</f>
        <v>46.232845995156516</v>
      </c>
      <c r="G82" s="343">
        <f>+'OLD...Tabs'!J212+'OLD...Tabs'!K212</f>
        <v>71.093749999999986</v>
      </c>
      <c r="H82" s="345">
        <f>+'OLD...Tabs'!J27+'OLD...Tabs'!K27</f>
        <v>66.904391085614407</v>
      </c>
      <c r="I82" s="361"/>
      <c r="J82" s="362"/>
      <c r="K82" s="362"/>
      <c r="L82" s="362"/>
      <c r="M82" s="362"/>
    </row>
    <row r="83" spans="1:16" ht="40.5" customHeight="1">
      <c r="A83" s="492" t="s">
        <v>841</v>
      </c>
      <c r="B83" s="492"/>
      <c r="C83" s="492"/>
      <c r="D83" s="492"/>
      <c r="E83" s="492"/>
      <c r="F83" s="492"/>
      <c r="G83" s="492"/>
      <c r="H83" s="492"/>
      <c r="I83" s="278"/>
      <c r="J83" s="278"/>
      <c r="K83" s="278"/>
      <c r="L83" s="278"/>
      <c r="M83" s="278"/>
      <c r="N83" s="278"/>
      <c r="O83" s="278"/>
      <c r="P83" s="278"/>
    </row>
    <row r="84" spans="1:16" s="336" customFormat="1" ht="13">
      <c r="A84" s="278"/>
      <c r="B84" s="278"/>
      <c r="C84" s="278"/>
      <c r="D84" s="278"/>
      <c r="E84" s="278"/>
      <c r="F84" s="278"/>
      <c r="G84" s="278"/>
      <c r="H84" s="284" t="s">
        <v>839</v>
      </c>
      <c r="I84" s="278"/>
      <c r="J84" s="278"/>
      <c r="K84" s="278"/>
      <c r="L84" s="278"/>
      <c r="M84" s="278"/>
      <c r="N84" s="278"/>
      <c r="O84" s="278"/>
      <c r="P84" s="278"/>
    </row>
    <row r="85" spans="1:16" s="336" customFormat="1" ht="18">
      <c r="A85" s="226" t="s">
        <v>739</v>
      </c>
      <c r="B85" s="227"/>
      <c r="C85" s="227"/>
      <c r="D85" s="227"/>
      <c r="E85" s="227"/>
      <c r="F85" s="227"/>
      <c r="G85" s="321"/>
      <c r="H85" s="321"/>
      <c r="I85" s="355"/>
      <c r="J85" s="356"/>
      <c r="K85" s="356"/>
      <c r="L85" s="356"/>
      <c r="M85" s="356"/>
      <c r="N85" s="159"/>
      <c r="O85" s="159"/>
      <c r="P85" s="159"/>
    </row>
    <row r="86" spans="1:16" ht="11.25" customHeight="1">
      <c r="A86" s="232"/>
      <c r="B86" s="228"/>
      <c r="C86" s="228"/>
      <c r="D86" s="228"/>
      <c r="E86" s="228"/>
      <c r="F86" s="228"/>
      <c r="G86" s="228"/>
      <c r="H86" s="228"/>
      <c r="I86" s="357"/>
      <c r="J86" s="357"/>
      <c r="K86" s="357"/>
      <c r="L86" s="357"/>
      <c r="M86" s="357"/>
      <c r="N86" s="231"/>
      <c r="O86" s="231"/>
      <c r="P86" s="231"/>
    </row>
    <row r="87" spans="1:16" ht="15.75" customHeight="1">
      <c r="A87" s="323" t="s">
        <v>740</v>
      </c>
      <c r="B87" s="227"/>
      <c r="C87" s="227"/>
      <c r="D87" s="227"/>
      <c r="E87" s="227"/>
      <c r="F87" s="227"/>
      <c r="G87" s="321"/>
      <c r="H87" s="321"/>
      <c r="I87" s="355"/>
      <c r="J87" s="356"/>
      <c r="K87" s="356"/>
      <c r="L87" s="356"/>
      <c r="M87" s="356"/>
    </row>
    <row r="88" spans="1:16" ht="15.75" customHeight="1">
      <c r="A88" s="323" t="s">
        <v>781</v>
      </c>
      <c r="B88" s="228"/>
      <c r="C88" s="228"/>
      <c r="D88" s="228"/>
      <c r="E88" s="228"/>
      <c r="F88" s="228"/>
      <c r="G88" s="321"/>
      <c r="H88" s="321"/>
      <c r="I88" s="355"/>
      <c r="J88" s="356"/>
      <c r="K88" s="356"/>
      <c r="L88" s="356"/>
      <c r="M88" s="356"/>
    </row>
    <row r="89" spans="1:16" ht="15.75" customHeight="1">
      <c r="A89" s="349"/>
      <c r="B89" s="357"/>
      <c r="C89" s="357"/>
      <c r="D89" s="357"/>
      <c r="E89" s="357"/>
      <c r="F89" s="357"/>
      <c r="G89" s="356"/>
      <c r="H89" s="356"/>
      <c r="I89" s="355"/>
      <c r="J89" s="356"/>
      <c r="K89" s="356"/>
      <c r="L89" s="356"/>
      <c r="M89" s="356"/>
    </row>
    <row r="90" spans="1:16" ht="15.75" customHeight="1">
      <c r="A90" s="333"/>
      <c r="B90" s="328" t="s">
        <v>565</v>
      </c>
      <c r="C90" s="328"/>
      <c r="D90" s="328"/>
      <c r="E90" s="328"/>
      <c r="F90" s="328"/>
      <c r="G90" s="328"/>
      <c r="H90" s="328"/>
      <c r="I90" s="336"/>
      <c r="J90" s="336"/>
      <c r="K90" s="336"/>
      <c r="L90" s="336"/>
      <c r="M90" s="336"/>
      <c r="N90" s="336"/>
      <c r="O90" s="336"/>
      <c r="P90" s="336"/>
    </row>
    <row r="91" spans="1:16" ht="15.75" customHeight="1">
      <c r="A91" s="333"/>
      <c r="B91" s="328">
        <v>1</v>
      </c>
      <c r="C91" s="328">
        <v>2</v>
      </c>
      <c r="D91" s="328">
        <v>3</v>
      </c>
      <c r="E91" s="328">
        <v>4</v>
      </c>
      <c r="F91" s="328">
        <v>5</v>
      </c>
      <c r="G91" s="328">
        <v>6</v>
      </c>
      <c r="H91" s="329" t="s">
        <v>731</v>
      </c>
      <c r="I91" s="336"/>
      <c r="J91" s="336"/>
      <c r="K91" s="336"/>
      <c r="L91" s="336"/>
      <c r="M91" s="336"/>
      <c r="N91" s="336"/>
      <c r="O91" s="336"/>
      <c r="P91" s="336"/>
    </row>
    <row r="92" spans="1:16">
      <c r="A92" s="231" t="s">
        <v>666</v>
      </c>
      <c r="B92" s="360">
        <f>+'OLD...Tabs'!L41</f>
        <v>25.997179082746907</v>
      </c>
      <c r="C92" s="360">
        <f>+'OLD...Tabs'!L72</f>
        <v>30.769871167814848</v>
      </c>
      <c r="D92" s="360">
        <f>+'OLD...Tabs'!L102</f>
        <v>57.929540147296578</v>
      </c>
      <c r="E92" s="360">
        <f>+'OLD...Tabs'!L133</f>
        <v>37.057954644191504</v>
      </c>
      <c r="F92" s="360">
        <f>+'OLD...Tabs'!L164</f>
        <v>89.243126453464399</v>
      </c>
      <c r="G92" s="360">
        <f>+'OLD...Tabs'!L194</f>
        <v>98.73737373737373</v>
      </c>
      <c r="H92" s="341">
        <f>+'OLD...Tabs'!L9</f>
        <v>41.063653242634857</v>
      </c>
      <c r="I92" s="361"/>
      <c r="J92" s="362"/>
      <c r="K92" s="362"/>
      <c r="L92" s="362"/>
      <c r="M92" s="362"/>
    </row>
    <row r="93" spans="1:16">
      <c r="A93" s="231" t="s">
        <v>667</v>
      </c>
      <c r="B93" s="337">
        <f>+'OLD...Tabs'!L42</f>
        <v>31.990997711496885</v>
      </c>
      <c r="C93" s="337">
        <f>+'OLD...Tabs'!L73</f>
        <v>29.162566193354888</v>
      </c>
      <c r="D93" s="337">
        <f>+'OLD...Tabs'!L103</f>
        <v>68.535320378151269</v>
      </c>
      <c r="E93" s="337">
        <f>+'OLD...Tabs'!L134</f>
        <v>76.720030493615397</v>
      </c>
      <c r="F93" s="337">
        <f>+'OLD...Tabs'!L165</f>
        <v>0</v>
      </c>
      <c r="G93" s="337">
        <f>+'OLD...Tabs'!L195</f>
        <v>32.714617169373547</v>
      </c>
      <c r="H93" s="339">
        <f>+'OLD...Tabs'!L10</f>
        <v>54.298963536666726</v>
      </c>
      <c r="I93" s="361"/>
      <c r="J93" s="362"/>
      <c r="K93" s="362"/>
      <c r="L93" s="362"/>
      <c r="M93" s="362"/>
    </row>
    <row r="94" spans="1:16">
      <c r="A94" s="231" t="s">
        <v>668</v>
      </c>
      <c r="B94" s="337">
        <f>+'OLD...Tabs'!L43</f>
        <v>13.829975617397464</v>
      </c>
      <c r="C94" s="337">
        <f>+'OLD...Tabs'!L74</f>
        <v>0</v>
      </c>
      <c r="D94" s="337">
        <f>+'OLD...Tabs'!L104</f>
        <v>22.599494630448515</v>
      </c>
      <c r="E94" s="337">
        <f>+'OLD...Tabs'!L135</f>
        <v>0</v>
      </c>
      <c r="F94" s="337">
        <f>+'OLD...Tabs'!L166</f>
        <v>0</v>
      </c>
      <c r="G94" s="337">
        <f>+'OLD...Tabs'!L196</f>
        <v>0</v>
      </c>
      <c r="H94" s="339">
        <f>+'OLD...Tabs'!L11</f>
        <v>14.526302589504045</v>
      </c>
      <c r="I94" s="361"/>
      <c r="J94" s="362"/>
      <c r="K94" s="362"/>
      <c r="L94" s="362"/>
      <c r="M94" s="362"/>
    </row>
    <row r="95" spans="1:16" ht="15.5">
      <c r="A95" s="231" t="s">
        <v>705</v>
      </c>
      <c r="B95" s="337">
        <f>+'OLD...Tabs'!L44</f>
        <v>0</v>
      </c>
      <c r="C95" s="337">
        <f>+'OLD...Tabs'!L75</f>
        <v>0</v>
      </c>
      <c r="D95" s="337">
        <f>+'OLD...Tabs'!L105</f>
        <v>0</v>
      </c>
      <c r="E95" s="337">
        <f>+'OLD...Tabs'!L136</f>
        <v>0</v>
      </c>
      <c r="F95" s="337">
        <f>+'OLD...Tabs'!L167</f>
        <v>0</v>
      </c>
      <c r="G95" s="337">
        <f>+'OLD...Tabs'!L197</f>
        <v>0</v>
      </c>
      <c r="H95" s="339">
        <f>+'OLD...Tabs'!L12</f>
        <v>0</v>
      </c>
      <c r="I95" s="361"/>
      <c r="J95" s="362"/>
      <c r="K95" s="362"/>
      <c r="L95" s="362"/>
      <c r="M95" s="362"/>
    </row>
    <row r="96" spans="1:16">
      <c r="A96" s="231"/>
      <c r="B96" s="337"/>
      <c r="C96" s="337"/>
      <c r="D96" s="337"/>
      <c r="E96" s="337"/>
      <c r="F96" s="337"/>
      <c r="G96" s="337"/>
      <c r="H96" s="339"/>
      <c r="I96" s="361"/>
      <c r="J96" s="362"/>
      <c r="K96" s="362"/>
      <c r="L96" s="362"/>
      <c r="M96" s="362"/>
    </row>
    <row r="97" spans="1:16">
      <c r="A97" s="231" t="s">
        <v>670</v>
      </c>
      <c r="B97" s="337">
        <f>+'OLD...Tabs'!L46</f>
        <v>6.0453356992167793</v>
      </c>
      <c r="C97" s="337">
        <f>+'OLD...Tabs'!L77</f>
        <v>26.166707979358677</v>
      </c>
      <c r="D97" s="337">
        <f>+'OLD...Tabs'!L107</f>
        <v>66.346451052639338</v>
      </c>
      <c r="E97" s="337">
        <f>+'OLD...Tabs'!L138</f>
        <v>21.07853039744327</v>
      </c>
      <c r="F97" s="337">
        <f>+'OLD...Tabs'!L169</f>
        <v>22.415640064274235</v>
      </c>
      <c r="G97" s="337">
        <f>+'OLD...Tabs'!L199</f>
        <v>88.211046990931578</v>
      </c>
      <c r="H97" s="339">
        <f>+'OLD...Tabs'!L14</f>
        <v>23.846141193808418</v>
      </c>
      <c r="I97" s="361"/>
      <c r="J97" s="362"/>
      <c r="K97" s="362"/>
      <c r="L97" s="362"/>
      <c r="M97" s="362"/>
    </row>
    <row r="98" spans="1:16">
      <c r="A98" s="231" t="s">
        <v>671</v>
      </c>
      <c r="B98" s="337">
        <f>+'OLD...Tabs'!L47</f>
        <v>23.67390986245244</v>
      </c>
      <c r="C98" s="337">
        <f>+'OLD...Tabs'!L78</f>
        <v>0</v>
      </c>
      <c r="D98" s="337">
        <f>+'OLD...Tabs'!L108</f>
        <v>54.272299254966882</v>
      </c>
      <c r="E98" s="337">
        <f>+'OLD...Tabs'!L139</f>
        <v>20.689655172413794</v>
      </c>
      <c r="F98" s="337">
        <f>+'OLD...Tabs'!L170</f>
        <v>0</v>
      </c>
      <c r="G98" s="337">
        <f>+'OLD...Tabs'!L200</f>
        <v>0</v>
      </c>
      <c r="H98" s="339">
        <f>+'OLD...Tabs'!L15</f>
        <v>38.417284143202551</v>
      </c>
      <c r="I98" s="361"/>
      <c r="J98" s="362"/>
      <c r="K98" s="362"/>
      <c r="L98" s="362"/>
      <c r="M98" s="362"/>
    </row>
    <row r="99" spans="1:16">
      <c r="A99" s="231" t="s">
        <v>672</v>
      </c>
      <c r="B99" s="337">
        <f>+'OLD...Tabs'!L48</f>
        <v>5.8582308142940986</v>
      </c>
      <c r="C99" s="337">
        <f>+'OLD...Tabs'!L79</f>
        <v>17.723467469461614</v>
      </c>
      <c r="D99" s="337">
        <f>+'OLD...Tabs'!L109</f>
        <v>42.057264657996591</v>
      </c>
      <c r="E99" s="337">
        <f>+'OLD...Tabs'!L140</f>
        <v>55.798388059342876</v>
      </c>
      <c r="F99" s="337">
        <f>+'OLD...Tabs'!L171</f>
        <v>13.362068965517288</v>
      </c>
      <c r="G99" s="337">
        <f>+'OLD...Tabs'!L201</f>
        <v>0</v>
      </c>
      <c r="H99" s="339">
        <f>+'OLD...Tabs'!L16</f>
        <v>27.672078428779823</v>
      </c>
      <c r="I99" s="361"/>
      <c r="J99" s="362"/>
      <c r="K99" s="362"/>
      <c r="L99" s="362"/>
      <c r="M99" s="362"/>
    </row>
    <row r="100" spans="1:16">
      <c r="A100" s="231" t="s">
        <v>673</v>
      </c>
      <c r="B100" s="337">
        <f>+'OLD...Tabs'!L49</f>
        <v>12.410149985850392</v>
      </c>
      <c r="C100" s="337">
        <f>+'OLD...Tabs'!L80</f>
        <v>22.042909327891063</v>
      </c>
      <c r="D100" s="337">
        <f>+'OLD...Tabs'!L110</f>
        <v>24.189404274670302</v>
      </c>
      <c r="E100" s="337">
        <f>+'OLD...Tabs'!L141</f>
        <v>37.989978071527332</v>
      </c>
      <c r="F100" s="337">
        <f>+'OLD...Tabs'!L172</f>
        <v>12.997500480676793</v>
      </c>
      <c r="G100" s="337">
        <f>+'OLD...Tabs'!L202</f>
        <v>0</v>
      </c>
      <c r="H100" s="339">
        <f>+'OLD...Tabs'!L17</f>
        <v>47.813299121130399</v>
      </c>
      <c r="I100" s="361"/>
      <c r="J100" s="362"/>
      <c r="K100" s="362"/>
      <c r="L100" s="362"/>
      <c r="M100" s="362"/>
    </row>
    <row r="101" spans="1:16">
      <c r="A101" s="231"/>
      <c r="B101" s="337"/>
      <c r="C101" s="337"/>
      <c r="D101" s="337"/>
      <c r="E101" s="337"/>
      <c r="F101" s="337"/>
      <c r="G101" s="337"/>
      <c r="H101" s="339"/>
      <c r="I101" s="361"/>
      <c r="J101" s="362"/>
      <c r="K101" s="362"/>
      <c r="L101" s="362"/>
      <c r="M101" s="362"/>
    </row>
    <row r="102" spans="1:16">
      <c r="A102" s="231" t="s">
        <v>674</v>
      </c>
      <c r="B102" s="337">
        <f>+'OLD...Tabs'!L51</f>
        <v>24.090132286853599</v>
      </c>
      <c r="C102" s="337">
        <f>+'OLD...Tabs'!L82</f>
        <v>48.294544587180972</v>
      </c>
      <c r="D102" s="337">
        <f>+'OLD...Tabs'!L112</f>
        <v>0</v>
      </c>
      <c r="E102" s="337">
        <f>+'OLD...Tabs'!L143</f>
        <v>75.128975707488109</v>
      </c>
      <c r="F102" s="337">
        <f>+'OLD...Tabs'!L174</f>
        <v>0</v>
      </c>
      <c r="G102" s="337">
        <f>+'OLD...Tabs'!L204</f>
        <v>0</v>
      </c>
      <c r="H102" s="339">
        <f>+'OLD...Tabs'!L19</f>
        <v>35.396970370187518</v>
      </c>
      <c r="I102" s="361"/>
      <c r="J102" s="362"/>
      <c r="K102" s="362"/>
      <c r="L102" s="362"/>
      <c r="M102" s="362"/>
    </row>
    <row r="103" spans="1:16">
      <c r="A103" s="231" t="s">
        <v>675</v>
      </c>
      <c r="B103" s="337">
        <f>+'OLD...Tabs'!L52</f>
        <v>18.581353768535461</v>
      </c>
      <c r="C103" s="337">
        <f>+'OLD...Tabs'!L83</f>
        <v>61.078356261727897</v>
      </c>
      <c r="D103" s="337">
        <f>+'OLD...Tabs'!L113</f>
        <v>37.742538910149044</v>
      </c>
      <c r="E103" s="337">
        <f>+'OLD...Tabs'!L144</f>
        <v>64.374396468478409</v>
      </c>
      <c r="F103" s="337">
        <f>+'OLD...Tabs'!L175</f>
        <v>52.40673662197991</v>
      </c>
      <c r="G103" s="337">
        <f>+'OLD...Tabs'!L205</f>
        <v>16.326530612244898</v>
      </c>
      <c r="H103" s="339">
        <f>+'OLD...Tabs'!L20</f>
        <v>28.853814930432875</v>
      </c>
      <c r="I103" s="361"/>
      <c r="J103" s="362"/>
      <c r="K103" s="362"/>
      <c r="L103" s="362"/>
      <c r="M103" s="362"/>
    </row>
    <row r="104" spans="1:16">
      <c r="A104" s="231" t="s">
        <v>676</v>
      </c>
      <c r="B104" s="337">
        <f>+'OLD...Tabs'!L53</f>
        <v>20.632787468850125</v>
      </c>
      <c r="C104" s="337">
        <f>+'OLD...Tabs'!L84</f>
        <v>0</v>
      </c>
      <c r="D104" s="337">
        <f>+'OLD...Tabs'!L114</f>
        <v>23.001024544523137</v>
      </c>
      <c r="E104" s="337">
        <f>+'OLD...Tabs'!L145</f>
        <v>73.521491181750989</v>
      </c>
      <c r="F104" s="337">
        <f>+'OLD...Tabs'!L176</f>
        <v>57.275390624999993</v>
      </c>
      <c r="G104" s="337">
        <f>+'OLD...Tabs'!L206</f>
        <v>5.2287581699346406</v>
      </c>
      <c r="H104" s="339">
        <f>+'OLD...Tabs'!L21</f>
        <v>29.663578214230938</v>
      </c>
      <c r="I104" s="361"/>
      <c r="J104" s="362"/>
      <c r="K104" s="362"/>
      <c r="L104" s="362"/>
      <c r="M104" s="362"/>
    </row>
    <row r="105" spans="1:16" s="278" customFormat="1">
      <c r="A105" s="231" t="s">
        <v>677</v>
      </c>
      <c r="B105" s="337">
        <f>+'OLD...Tabs'!L54</f>
        <v>23.940475286614532</v>
      </c>
      <c r="C105" s="337">
        <f>+'OLD...Tabs'!L85</f>
        <v>0</v>
      </c>
      <c r="D105" s="337">
        <f>+'OLD...Tabs'!L115</f>
        <v>33.807102921109518</v>
      </c>
      <c r="E105" s="337">
        <f>+'OLD...Tabs'!L146</f>
        <v>53.828571428571422</v>
      </c>
      <c r="F105" s="337">
        <f>+'OLD...Tabs'!L177</f>
        <v>20.479115479115478</v>
      </c>
      <c r="G105" s="337">
        <f>+'OLD...Tabs'!L207</f>
        <v>74.567545304777596</v>
      </c>
      <c r="H105" s="339">
        <f>+'OLD...Tabs'!L22</f>
        <v>26.860992696553829</v>
      </c>
      <c r="I105" s="361"/>
      <c r="J105" s="362"/>
      <c r="K105" s="362"/>
      <c r="L105" s="362"/>
      <c r="M105" s="362"/>
      <c r="N105" s="159"/>
      <c r="O105" s="159"/>
      <c r="P105" s="159"/>
    </row>
    <row r="106" spans="1:16" s="278" customFormat="1">
      <c r="A106" s="231"/>
      <c r="B106" s="337"/>
      <c r="C106" s="337"/>
      <c r="D106" s="337"/>
      <c r="E106" s="337"/>
      <c r="F106" s="337"/>
      <c r="G106" s="337"/>
      <c r="H106" s="339"/>
      <c r="I106" s="361"/>
      <c r="J106" s="362"/>
      <c r="K106" s="362"/>
      <c r="L106" s="362"/>
      <c r="M106" s="362"/>
      <c r="N106" s="159"/>
      <c r="O106" s="159"/>
      <c r="P106" s="159"/>
    </row>
    <row r="107" spans="1:16" s="278" customFormat="1">
      <c r="A107" s="231" t="s">
        <v>678</v>
      </c>
      <c r="B107" s="337">
        <f>+'OLD...Tabs'!L56</f>
        <v>27.504098577397006</v>
      </c>
      <c r="C107" s="337">
        <f>+'OLD...Tabs'!L87</f>
        <v>39.453027300536775</v>
      </c>
      <c r="D107" s="337">
        <f>+'OLD...Tabs'!L117</f>
        <v>55.258279883860176</v>
      </c>
      <c r="E107" s="337">
        <f>+'OLD...Tabs'!L148</f>
        <v>0</v>
      </c>
      <c r="F107" s="337">
        <f>+'OLD...Tabs'!L179</f>
        <v>85.290967511603</v>
      </c>
      <c r="G107" s="337">
        <f>+'OLD...Tabs'!L209</f>
        <v>0</v>
      </c>
      <c r="H107" s="339">
        <f>+'OLD...Tabs'!L24</f>
        <v>37.628073054082023</v>
      </c>
      <c r="I107" s="361"/>
      <c r="J107" s="362"/>
      <c r="K107" s="362"/>
      <c r="L107" s="362"/>
      <c r="M107" s="362"/>
      <c r="N107" s="159"/>
      <c r="O107" s="159"/>
      <c r="P107" s="159"/>
    </row>
    <row r="108" spans="1:16" s="278" customFormat="1">
      <c r="A108" s="231" t="s">
        <v>679</v>
      </c>
      <c r="B108" s="337">
        <f>+'OLD...Tabs'!L57</f>
        <v>0</v>
      </c>
      <c r="C108" s="337">
        <f>+'OLD...Tabs'!L88</f>
        <v>0</v>
      </c>
      <c r="D108" s="337">
        <f>+'OLD...Tabs'!L118</f>
        <v>0</v>
      </c>
      <c r="E108" s="337">
        <f>+'OLD...Tabs'!L149</f>
        <v>0</v>
      </c>
      <c r="F108" s="337">
        <f>+'OLD...Tabs'!L180</f>
        <v>0</v>
      </c>
      <c r="G108" s="337">
        <f>+'OLD...Tabs'!L210</f>
        <v>0</v>
      </c>
      <c r="H108" s="339">
        <f>+'OLD...Tabs'!L25</f>
        <v>0</v>
      </c>
      <c r="I108" s="361"/>
      <c r="J108" s="362"/>
      <c r="K108" s="362"/>
      <c r="L108" s="362"/>
      <c r="M108" s="362"/>
      <c r="N108" s="159"/>
      <c r="O108" s="159"/>
      <c r="P108" s="159"/>
    </row>
    <row r="109" spans="1:16">
      <c r="A109" s="231" t="s">
        <v>680</v>
      </c>
      <c r="B109" s="337">
        <f>+'OLD...Tabs'!L58</f>
        <v>15.36847694879874</v>
      </c>
      <c r="C109" s="337">
        <f>+'OLD...Tabs'!L89</f>
        <v>12.423241590214069</v>
      </c>
      <c r="D109" s="337">
        <f>+'OLD...Tabs'!L119</f>
        <v>25.933895849915228</v>
      </c>
      <c r="E109" s="337">
        <f>+'OLD...Tabs'!L150</f>
        <v>0</v>
      </c>
      <c r="F109" s="337">
        <f>+'OLD...Tabs'!L181</f>
        <v>0</v>
      </c>
      <c r="G109" s="337">
        <f>+'OLD...Tabs'!L211</f>
        <v>0</v>
      </c>
      <c r="H109" s="339">
        <f>+'OLD...Tabs'!L26</f>
        <v>16.213995023635015</v>
      </c>
      <c r="I109" s="361"/>
      <c r="J109" s="362"/>
      <c r="K109" s="362"/>
      <c r="L109" s="362"/>
      <c r="M109" s="362"/>
    </row>
    <row r="110" spans="1:16">
      <c r="A110" s="237" t="s">
        <v>681</v>
      </c>
      <c r="B110" s="343">
        <f>+'OLD...Tabs'!L59</f>
        <v>28.613884374274434</v>
      </c>
      <c r="C110" s="343">
        <f>+'OLD...Tabs'!L90</f>
        <v>0</v>
      </c>
      <c r="D110" s="343">
        <f>+'OLD...Tabs'!L120</f>
        <v>32.132947635633741</v>
      </c>
      <c r="E110" s="343">
        <f>+'OLD...Tabs'!L151</f>
        <v>0</v>
      </c>
      <c r="F110" s="343">
        <f>+'OLD...Tabs'!L182</f>
        <v>53.767154004843476</v>
      </c>
      <c r="G110" s="343">
        <f>+'OLD...Tabs'!L212</f>
        <v>28.90625</v>
      </c>
      <c r="H110" s="345">
        <f>+'OLD...Tabs'!L27</f>
        <v>33.095608914385593</v>
      </c>
      <c r="I110" s="361"/>
      <c r="J110" s="362"/>
      <c r="K110" s="362"/>
      <c r="L110" s="362"/>
      <c r="M110" s="362"/>
    </row>
    <row r="111" spans="1:16" ht="45.5" customHeight="1">
      <c r="A111" s="493" t="s">
        <v>841</v>
      </c>
      <c r="B111" s="493"/>
      <c r="C111" s="493"/>
      <c r="D111" s="493"/>
      <c r="E111" s="493"/>
      <c r="F111" s="493"/>
      <c r="G111" s="493"/>
      <c r="H111" s="493"/>
      <c r="I111" s="363"/>
      <c r="J111" s="364"/>
      <c r="K111" s="364"/>
      <c r="L111" s="364"/>
      <c r="M111" s="364"/>
      <c r="N111" s="364"/>
      <c r="O111" s="364"/>
      <c r="P111" s="364"/>
    </row>
    <row r="112" spans="1:16" ht="24" customHeight="1">
      <c r="A112" s="490" t="s">
        <v>741</v>
      </c>
      <c r="B112" s="491"/>
      <c r="C112" s="491"/>
      <c r="D112" s="491"/>
      <c r="E112" s="491"/>
      <c r="F112" s="491"/>
      <c r="G112" s="491"/>
      <c r="H112" s="491"/>
      <c r="I112" s="278"/>
      <c r="J112" s="278"/>
      <c r="K112" s="278"/>
      <c r="L112" s="278"/>
      <c r="M112" s="278"/>
      <c r="N112" s="278"/>
      <c r="O112" s="278"/>
      <c r="P112" s="278"/>
    </row>
    <row r="113" spans="1:16">
      <c r="A113" s="278"/>
      <c r="B113" s="278"/>
      <c r="C113" s="278"/>
      <c r="D113" s="278"/>
      <c r="E113" s="278"/>
      <c r="F113" s="278"/>
      <c r="G113" s="278"/>
      <c r="H113" s="284" t="s">
        <v>839</v>
      </c>
      <c r="I113" s="278"/>
      <c r="J113" s="278"/>
      <c r="K113" s="278"/>
      <c r="L113" s="278"/>
      <c r="M113" s="278"/>
      <c r="N113" s="278"/>
      <c r="O113" s="278"/>
      <c r="P113" s="278"/>
    </row>
  </sheetData>
  <mergeCells count="10">
    <mergeCell ref="A54:P54"/>
    <mergeCell ref="A83:H83"/>
    <mergeCell ref="A111:H111"/>
    <mergeCell ref="A112:H112"/>
    <mergeCell ref="B5:H5"/>
    <mergeCell ref="I5:M5"/>
    <mergeCell ref="A26:P26"/>
    <mergeCell ref="A28:P28"/>
    <mergeCell ref="A30:P30"/>
    <mergeCell ref="A53:P53"/>
  </mergeCells>
  <pageMargins left="0.7" right="0.7" top="0.75" bottom="0.75" header="0.3" footer="0.3"/>
  <pageSetup firstPageNumber="87" orientation="landscape" useFirstPageNumber="1" r:id="rId1"/>
  <headerFooter>
    <oddHeader>&amp;R&amp;"Arial,Regular"&amp;8SREB-State Data Exchange</oddHeader>
    <oddFooter>&amp;CC-&amp;P</oddFooter>
  </headerFooter>
  <rowBreaks count="3" manualBreakCount="3">
    <brk id="27" max="15" man="1"/>
    <brk id="55" max="15" man="1"/>
    <brk id="84"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B2D0-37CF-4F58-9CA9-290531D447B1}">
  <sheetPr>
    <tabColor rgb="FFC00000"/>
  </sheetPr>
  <dimension ref="A1:AO463"/>
  <sheetViews>
    <sheetView showZeros="0" view="pageBreakPreview" zoomScaleNormal="100" zoomScaleSheetLayoutView="100" workbookViewId="0">
      <selection activeCell="A28" sqref="A28:H30"/>
    </sheetView>
  </sheetViews>
  <sheetFormatPr defaultColWidth="8.84375" defaultRowHeight="12.5"/>
  <cols>
    <col min="1" max="1" width="10.4609375" style="231" customWidth="1"/>
    <col min="2" max="2" width="7.07421875" style="231" customWidth="1"/>
    <col min="3" max="3" width="7.3046875" style="231" bestFit="1" customWidth="1"/>
    <col min="4" max="4" width="7.69140625" style="231" bestFit="1" customWidth="1"/>
    <col min="5" max="5" width="4.4609375" style="231" bestFit="1" customWidth="1"/>
    <col min="6" max="6" width="8.84375" style="231" customWidth="1"/>
    <col min="7" max="7" width="6.07421875" style="231" bestFit="1" customWidth="1"/>
    <col min="8" max="8" width="9.53515625" style="231" bestFit="1" customWidth="1"/>
    <col min="9" max="9" width="10.07421875" style="297" customWidth="1"/>
    <col min="10" max="11" width="7" style="231" customWidth="1"/>
    <col min="12" max="12" width="7.765625" style="231" bestFit="1" customWidth="1"/>
    <col min="13" max="13" width="5" style="231" bestFit="1" customWidth="1"/>
    <col min="14" max="14" width="8.765625" style="231" customWidth="1"/>
    <col min="15" max="15" width="6.07421875" style="231" bestFit="1" customWidth="1"/>
    <col min="16" max="16" width="9.53515625" style="231" bestFit="1" customWidth="1"/>
    <col min="17" max="17" width="9" style="235" bestFit="1" customWidth="1"/>
    <col min="18" max="18" width="9" style="241" bestFit="1" customWidth="1"/>
    <col min="19" max="16384" width="8.84375" style="310"/>
  </cols>
  <sheetData>
    <row r="1" spans="1:41" ht="18">
      <c r="A1" s="226" t="s">
        <v>685</v>
      </c>
      <c r="B1" s="227"/>
      <c r="C1" s="227"/>
      <c r="D1" s="227"/>
      <c r="E1" s="227"/>
      <c r="F1" s="227"/>
      <c r="G1" s="227"/>
      <c r="H1" s="227"/>
      <c r="I1" s="226" t="s">
        <v>686</v>
      </c>
      <c r="J1" s="228"/>
      <c r="K1" s="228"/>
      <c r="L1" s="227"/>
      <c r="M1" s="228"/>
      <c r="N1" s="228"/>
      <c r="O1" s="228"/>
      <c r="P1" s="228"/>
      <c r="Q1" s="229"/>
      <c r="R1" s="230"/>
    </row>
    <row r="2" spans="1:41" ht="14.5">
      <c r="A2" s="232"/>
      <c r="B2" s="228"/>
      <c r="C2" s="228"/>
      <c r="D2" s="228"/>
      <c r="E2" s="228"/>
      <c r="F2" s="228"/>
      <c r="G2" s="228"/>
      <c r="H2" s="228"/>
      <c r="I2" s="232"/>
      <c r="J2" s="228"/>
      <c r="K2" s="228"/>
      <c r="L2" s="228"/>
      <c r="M2" s="228"/>
      <c r="N2" s="228"/>
      <c r="O2" s="228"/>
      <c r="P2" s="228"/>
      <c r="Q2" s="498"/>
      <c r="R2" s="499"/>
      <c r="S2" s="499"/>
      <c r="T2" s="499"/>
      <c r="U2" s="499"/>
      <c r="V2" s="499"/>
      <c r="W2" s="499"/>
      <c r="X2" s="499"/>
    </row>
    <row r="3" spans="1:41" ht="15.5">
      <c r="A3" s="234" t="s">
        <v>687</v>
      </c>
      <c r="B3" s="228"/>
      <c r="C3" s="228"/>
      <c r="D3" s="228"/>
      <c r="E3" s="228"/>
      <c r="F3" s="228"/>
      <c r="G3" s="228"/>
      <c r="H3" s="228"/>
      <c r="I3" s="234" t="s">
        <v>688</v>
      </c>
      <c r="J3" s="228"/>
      <c r="K3" s="228"/>
      <c r="L3" s="228"/>
      <c r="M3" s="228"/>
      <c r="N3" s="228"/>
      <c r="O3" s="228"/>
      <c r="P3" s="228"/>
      <c r="R3" s="236" t="s">
        <v>581</v>
      </c>
    </row>
    <row r="4" spans="1:41" ht="17.5">
      <c r="A4" s="234" t="s">
        <v>842</v>
      </c>
      <c r="B4" s="228"/>
      <c r="C4" s="228"/>
      <c r="D4" s="228"/>
      <c r="E4" s="228"/>
      <c r="F4" s="228"/>
      <c r="G4" s="228"/>
      <c r="H4" s="228"/>
      <c r="I4" s="234" t="s">
        <v>842</v>
      </c>
      <c r="J4" s="228"/>
      <c r="K4" s="228"/>
      <c r="L4" s="228"/>
      <c r="M4" s="228"/>
      <c r="N4" s="228"/>
      <c r="O4" s="228"/>
      <c r="P4" s="228"/>
      <c r="R4" s="236" t="s">
        <v>581</v>
      </c>
    </row>
    <row r="5" spans="1:41">
      <c r="A5" s="237"/>
      <c r="B5" s="238"/>
      <c r="C5" s="238"/>
      <c r="D5" s="238"/>
      <c r="E5" s="238"/>
      <c r="F5" s="238"/>
      <c r="G5" s="238"/>
      <c r="H5" s="238"/>
      <c r="I5" s="239"/>
      <c r="L5" s="240"/>
      <c r="P5" s="237"/>
    </row>
    <row r="6" spans="1:41" s="247" customFormat="1" ht="11.5">
      <c r="A6" s="242"/>
      <c r="B6" s="243" t="s">
        <v>689</v>
      </c>
      <c r="C6" s="243"/>
      <c r="D6" s="243"/>
      <c r="E6" s="243"/>
      <c r="F6" s="243"/>
      <c r="G6" s="243"/>
      <c r="H6" s="244"/>
      <c r="I6" s="242"/>
      <c r="J6" s="243" t="s">
        <v>689</v>
      </c>
      <c r="K6" s="243"/>
      <c r="L6" s="243"/>
      <c r="M6" s="243"/>
      <c r="N6" s="243"/>
      <c r="O6" s="243"/>
      <c r="P6" s="244"/>
      <c r="Q6" s="311"/>
      <c r="R6" s="312"/>
    </row>
    <row r="7" spans="1:41" s="247" customFormat="1" ht="11.5">
      <c r="A7" s="242"/>
      <c r="B7" s="243" t="s">
        <v>690</v>
      </c>
      <c r="C7" s="243"/>
      <c r="D7" s="485" t="s">
        <v>691</v>
      </c>
      <c r="E7" s="483"/>
      <c r="F7" s="483"/>
      <c r="G7" s="483"/>
      <c r="H7" s="250" t="s">
        <v>581</v>
      </c>
      <c r="I7" s="242"/>
      <c r="J7" s="243" t="s">
        <v>690</v>
      </c>
      <c r="K7" s="243"/>
      <c r="L7" s="485" t="s">
        <v>691</v>
      </c>
      <c r="M7" s="483"/>
      <c r="N7" s="483"/>
      <c r="O7" s="483"/>
      <c r="P7" s="250" t="s">
        <v>581</v>
      </c>
      <c r="Q7" s="311"/>
      <c r="R7" s="312"/>
    </row>
    <row r="8" spans="1:41" s="247" customFormat="1" ht="40.5" customHeight="1">
      <c r="A8" s="242"/>
      <c r="B8" s="251" t="s">
        <v>692</v>
      </c>
      <c r="C8" s="252" t="s">
        <v>693</v>
      </c>
      <c r="D8" s="253" t="s">
        <v>694</v>
      </c>
      <c r="E8" s="254" t="s">
        <v>8</v>
      </c>
      <c r="F8" s="251" t="s">
        <v>695</v>
      </c>
      <c r="G8" s="255" t="s">
        <v>696</v>
      </c>
      <c r="H8" s="256" t="s">
        <v>697</v>
      </c>
      <c r="I8" s="242"/>
      <c r="J8" s="251" t="s">
        <v>692</v>
      </c>
      <c r="K8" s="252" t="s">
        <v>693</v>
      </c>
      <c r="L8" s="253" t="s">
        <v>694</v>
      </c>
      <c r="M8" s="254" t="s">
        <v>8</v>
      </c>
      <c r="N8" s="251" t="s">
        <v>695</v>
      </c>
      <c r="O8" s="255" t="s">
        <v>696</v>
      </c>
      <c r="P8" s="256" t="s">
        <v>697</v>
      </c>
      <c r="Q8" s="285" t="s">
        <v>698</v>
      </c>
      <c r="R8" s="285" t="s">
        <v>698</v>
      </c>
      <c r="T8" s="285"/>
    </row>
    <row r="9" spans="1:41" ht="15.75" customHeight="1">
      <c r="A9" s="259" t="s">
        <v>666</v>
      </c>
      <c r="B9" s="313">
        <f>('Pivot Table for Data Exchange'!$J$7)*100</f>
        <v>79.801022109890781</v>
      </c>
      <c r="C9" s="260">
        <f>('Pivot Table for Data Exchange'!$J$10)*100</f>
        <v>0.79050546702052338</v>
      </c>
      <c r="D9" s="261">
        <f>SUM(E9:G9)</f>
        <v>19.408472423088686</v>
      </c>
      <c r="E9" s="260">
        <f>('Pivot Table for Data Exchange'!$J$13)*100</f>
        <v>19.12945612583388</v>
      </c>
      <c r="F9" s="260">
        <f>('Pivot Table for Data Exchange'!$J$16)*100</f>
        <v>0.27901629725480637</v>
      </c>
      <c r="G9" s="293">
        <f>('Pivot Table for Data Exchange'!$J$19)*100</f>
        <v>0</v>
      </c>
      <c r="H9" s="260">
        <f>('Pivot Table for Data Exchange'!$J$22)*100</f>
        <v>0</v>
      </c>
      <c r="I9" s="286" t="s">
        <v>666</v>
      </c>
      <c r="J9" s="260">
        <f>('Pivot Table for Data Exchange'!$J$25)*100</f>
        <v>53.767397842061428</v>
      </c>
      <c r="K9" s="260">
        <f>('Pivot Table for Data Exchange'!$J$28)*100</f>
        <v>2.9295248076900515</v>
      </c>
      <c r="L9" s="261">
        <f>SUM(M9:O9)</f>
        <v>43.303077350248529</v>
      </c>
      <c r="M9" s="260">
        <f>('Pivot Table for Data Exchange'!$J$31)*100</f>
        <v>42.877785903397246</v>
      </c>
      <c r="N9" s="260">
        <f>('Pivot Table for Data Exchange'!$J$34)*100</f>
        <v>9.0924378292342414E-2</v>
      </c>
      <c r="O9" s="293">
        <f>('Pivot Table for Data Exchange'!$J$37)*100</f>
        <v>0.33436706855893661</v>
      </c>
      <c r="P9" s="260">
        <f>('Pivot Table for Data Exchange'!$J$40)*100</f>
        <v>0</v>
      </c>
      <c r="Q9" s="265">
        <f>SUM(B9,C9,D9,H9)</f>
        <v>99.999999999999986</v>
      </c>
      <c r="R9" s="265">
        <f>SUM(J9,K9,L9,P9)</f>
        <v>100</v>
      </c>
      <c r="S9" s="314"/>
      <c r="T9" s="315"/>
      <c r="U9" s="315"/>
      <c r="V9" s="315"/>
      <c r="W9" s="315"/>
      <c r="X9" s="315"/>
      <c r="Y9" s="315"/>
      <c r="Z9" s="315"/>
      <c r="AA9" s="315"/>
      <c r="AB9" s="315"/>
      <c r="AC9" s="315"/>
      <c r="AD9" s="315"/>
      <c r="AE9" s="315"/>
      <c r="AF9" s="314"/>
      <c r="AG9" s="314"/>
      <c r="AH9" s="314"/>
      <c r="AI9" s="314"/>
      <c r="AJ9" s="314"/>
      <c r="AK9" s="314"/>
      <c r="AL9" s="314"/>
      <c r="AM9" s="314"/>
      <c r="AN9" s="314"/>
      <c r="AO9" s="314"/>
    </row>
    <row r="10" spans="1:41" ht="15.75" customHeight="1">
      <c r="A10" s="231" t="s">
        <v>667</v>
      </c>
      <c r="B10" s="260">
        <f>('Pivot Table for Data Exchange'!$J$43)*100</f>
        <v>75.350220796541834</v>
      </c>
      <c r="C10" s="260">
        <f>('Pivot Table for Data Exchange'!$J$46)*100</f>
        <v>4.1265456233578197</v>
      </c>
      <c r="D10" s="261">
        <f t="shared" ref="D10:D15" si="0">SUM(E10:G10)</f>
        <v>20.397234002477184</v>
      </c>
      <c r="E10" s="260">
        <f>('Pivot Table for Data Exchange'!$J$49)*100</f>
        <v>20.13391438687816</v>
      </c>
      <c r="F10" s="260">
        <f>('Pivot Table for Data Exchange'!$J$52)*100</f>
        <v>0.1341807506511643</v>
      </c>
      <c r="G10" s="268">
        <f>('Pivot Table for Data Exchange'!$J$55)*100</f>
        <v>0.12913886494785928</v>
      </c>
      <c r="H10" s="260">
        <f>('Pivot Table for Data Exchange'!$J$58)*100</f>
        <v>0.12599957762315994</v>
      </c>
      <c r="I10" s="231" t="s">
        <v>667</v>
      </c>
      <c r="J10" s="260">
        <f>('Pivot Table for Data Exchange'!$J$61)*100</f>
        <v>47.471317812692611</v>
      </c>
      <c r="K10" s="260">
        <f>('Pivot Table for Data Exchange'!$J$64)*100</f>
        <v>4.4431708820380837</v>
      </c>
      <c r="L10" s="261">
        <f t="shared" ref="L10:L15" si="1">SUM(M10:O10)</f>
        <v>48.0855113052693</v>
      </c>
      <c r="M10" s="260">
        <f>('Pivot Table for Data Exchange'!$J$67)*100</f>
        <v>47.2739757134052</v>
      </c>
      <c r="N10" s="260">
        <f>('Pivot Table for Data Exchange'!$J$70)*100</f>
        <v>0.65203992257701748</v>
      </c>
      <c r="O10" s="268">
        <f>('Pivot Table for Data Exchange'!$J$73)*100</f>
        <v>0.15949566928708139</v>
      </c>
      <c r="P10" s="269">
        <f>('Pivot Table for Data Exchange'!$J$76)*100</f>
        <v>0</v>
      </c>
      <c r="Q10" s="265">
        <f>SUM(B10,C10,D10,H10)</f>
        <v>100</v>
      </c>
      <c r="R10" s="265">
        <f t="shared" ref="R10:R23" si="2">SUM(J10,K10,L10,P10)</f>
        <v>100</v>
      </c>
      <c r="S10" s="314"/>
      <c r="T10" s="315"/>
      <c r="U10" s="315"/>
      <c r="V10" s="315"/>
      <c r="W10" s="315"/>
      <c r="X10" s="315"/>
      <c r="Y10" s="315"/>
      <c r="Z10" s="315"/>
      <c r="AA10" s="315"/>
      <c r="AB10" s="315"/>
      <c r="AC10" s="315"/>
      <c r="AD10" s="315"/>
      <c r="AE10" s="315"/>
      <c r="AF10" s="314"/>
      <c r="AG10" s="314"/>
      <c r="AH10" s="314"/>
      <c r="AI10" s="314"/>
      <c r="AJ10" s="314"/>
      <c r="AK10" s="314"/>
      <c r="AL10" s="314"/>
      <c r="AM10" s="314"/>
      <c r="AN10" s="314"/>
      <c r="AO10" s="314"/>
    </row>
    <row r="11" spans="1:41" ht="15.75" customHeight="1">
      <c r="A11" s="231" t="s">
        <v>668</v>
      </c>
      <c r="B11" s="260">
        <f>('Pivot Table for Data Exchange'!$J$79)*100</f>
        <v>94.481730872337437</v>
      </c>
      <c r="C11" s="260">
        <f>('Pivot Table for Data Exchange'!$J$82)*100</f>
        <v>0</v>
      </c>
      <c r="D11" s="261">
        <f t="shared" si="0"/>
        <v>5.5182691276625579</v>
      </c>
      <c r="E11" s="260">
        <f>('Pivot Table for Data Exchange'!$J$85)*100</f>
        <v>5.5182691276625579</v>
      </c>
      <c r="F11" s="260">
        <f>('Pivot Table for Data Exchange'!$J$88)*100</f>
        <v>0</v>
      </c>
      <c r="G11" s="268">
        <f>('Pivot Table for Data Exchange'!$J$91)*100</f>
        <v>0</v>
      </c>
      <c r="H11" s="260">
        <f>('Pivot Table for Data Exchange'!$J$94)*100</f>
        <v>0</v>
      </c>
      <c r="I11" s="231" t="s">
        <v>668</v>
      </c>
      <c r="J11" s="260">
        <f>('Pivot Table for Data Exchange'!$J$97)*100</f>
        <v>83.58138350132819</v>
      </c>
      <c r="K11" s="260">
        <f>('Pivot Table for Data Exchange'!$J$100)*100</f>
        <v>0</v>
      </c>
      <c r="L11" s="261">
        <f t="shared" si="1"/>
        <v>16.41861649867181</v>
      </c>
      <c r="M11" s="260">
        <f>('Pivot Table for Data Exchange'!$J$103)*100</f>
        <v>16.41861649867181</v>
      </c>
      <c r="N11" s="260">
        <f>('Pivot Table for Data Exchange'!$J$106)*100</f>
        <v>0</v>
      </c>
      <c r="O11" s="268">
        <f>('Pivot Table for Data Exchange'!$J$109)*100</f>
        <v>0</v>
      </c>
      <c r="P11" s="260">
        <f>('Pivot Table for Data Exchange'!$J$112)*100</f>
        <v>0</v>
      </c>
      <c r="Q11" s="265">
        <f t="shared" ref="Q11:Q23" si="3">SUM(B11,C11,D11,H11)</f>
        <v>100</v>
      </c>
      <c r="R11" s="265">
        <f t="shared" si="2"/>
        <v>100</v>
      </c>
      <c r="S11" s="314"/>
      <c r="T11" s="315"/>
      <c r="U11" s="315"/>
      <c r="V11" s="315"/>
      <c r="W11" s="315"/>
      <c r="X11" s="315"/>
      <c r="Y11" s="315"/>
      <c r="Z11" s="315"/>
      <c r="AA11" s="315"/>
      <c r="AB11" s="315"/>
      <c r="AC11" s="315"/>
      <c r="AD11" s="315"/>
      <c r="AE11" s="315"/>
      <c r="AF11" s="314"/>
      <c r="AG11" s="314"/>
      <c r="AH11" s="314"/>
      <c r="AI11" s="314"/>
      <c r="AJ11" s="314"/>
      <c r="AK11" s="314"/>
      <c r="AL11" s="314"/>
      <c r="AM11" s="314"/>
      <c r="AN11" s="314"/>
      <c r="AO11" s="314"/>
    </row>
    <row r="12" spans="1:41" ht="15.75" customHeight="1">
      <c r="A12" s="231" t="s">
        <v>699</v>
      </c>
      <c r="B12" s="260">
        <f>('Pivot Table for Data Exchange'!$J$115)*100</f>
        <v>0</v>
      </c>
      <c r="C12" s="260">
        <f>('Pivot Table for Data Exchange'!$J$118)*100</f>
        <v>0</v>
      </c>
      <c r="D12" s="261">
        <f t="shared" si="0"/>
        <v>0</v>
      </c>
      <c r="E12" s="260">
        <f>('Pivot Table for Data Exchange'!$J$121)*100</f>
        <v>0</v>
      </c>
      <c r="F12" s="260">
        <f>('Pivot Table for Data Exchange'!$J$124)*100</f>
        <v>0</v>
      </c>
      <c r="G12" s="268">
        <f>('Pivot Table for Data Exchange'!$J$127)*100</f>
        <v>0</v>
      </c>
      <c r="H12" s="260">
        <f>('Pivot Table for Data Exchange'!$J$130)*100</f>
        <v>0</v>
      </c>
      <c r="I12" s="231" t="s">
        <v>699</v>
      </c>
      <c r="J12" s="260">
        <f>('Pivot Table for Data Exchange'!$J$133)*100</f>
        <v>0</v>
      </c>
      <c r="K12" s="260">
        <f>('Pivot Table for Data Exchange'!$J$136)*100</f>
        <v>0</v>
      </c>
      <c r="L12" s="261">
        <f t="shared" si="1"/>
        <v>0</v>
      </c>
      <c r="M12" s="260">
        <f>('Pivot Table for Data Exchange'!$J$139)*100</f>
        <v>0</v>
      </c>
      <c r="N12" s="260">
        <f>('Pivot Table for Data Exchange'!$J$142)*100</f>
        <v>0</v>
      </c>
      <c r="O12" s="267">
        <f>('Pivot Table for Data Exchange'!$J$145)*100</f>
        <v>0</v>
      </c>
      <c r="P12" s="272">
        <f>('Pivot Table for Data Exchange'!$J$148)*100</f>
        <v>0</v>
      </c>
      <c r="Q12" s="265">
        <f t="shared" si="3"/>
        <v>0</v>
      </c>
      <c r="R12" s="265">
        <f t="shared" si="2"/>
        <v>0</v>
      </c>
      <c r="S12" s="314"/>
      <c r="T12" s="315"/>
      <c r="U12" s="315"/>
      <c r="V12" s="315"/>
      <c r="W12" s="315"/>
      <c r="X12" s="315"/>
      <c r="Y12" s="315"/>
      <c r="Z12" s="315"/>
      <c r="AA12" s="315"/>
      <c r="AB12" s="315"/>
      <c r="AC12" s="315"/>
      <c r="AD12" s="315"/>
      <c r="AE12" s="315"/>
      <c r="AF12" s="314"/>
      <c r="AG12" s="314"/>
      <c r="AH12" s="314"/>
      <c r="AI12" s="314"/>
      <c r="AJ12" s="314"/>
      <c r="AK12" s="314"/>
      <c r="AL12" s="314"/>
      <c r="AM12" s="314"/>
      <c r="AN12" s="314"/>
      <c r="AO12" s="314"/>
    </row>
    <row r="13" spans="1:41" ht="9.75" customHeight="1">
      <c r="B13" s="260"/>
      <c r="C13" s="260"/>
      <c r="D13" s="261"/>
      <c r="E13" s="260"/>
      <c r="F13" s="260"/>
      <c r="G13" s="268"/>
      <c r="H13" s="260"/>
      <c r="I13" s="231"/>
      <c r="J13" s="260"/>
      <c r="K13" s="260"/>
      <c r="L13" s="261"/>
      <c r="M13" s="260"/>
      <c r="N13" s="260"/>
      <c r="O13" s="268"/>
      <c r="P13" s="260"/>
      <c r="Q13" s="265">
        <f t="shared" si="3"/>
        <v>0</v>
      </c>
      <c r="R13" s="265">
        <f t="shared" si="2"/>
        <v>0</v>
      </c>
      <c r="S13" s="314"/>
      <c r="T13" s="315"/>
      <c r="U13" s="315"/>
      <c r="V13" s="315"/>
      <c r="W13" s="315"/>
      <c r="X13" s="315"/>
      <c r="Y13" s="315"/>
      <c r="Z13" s="315"/>
      <c r="AA13" s="315"/>
      <c r="AB13" s="315"/>
      <c r="AC13" s="315"/>
      <c r="AD13" s="315"/>
      <c r="AE13" s="315"/>
      <c r="AF13" s="314"/>
      <c r="AG13" s="314"/>
      <c r="AH13" s="314"/>
      <c r="AI13" s="314"/>
      <c r="AJ13" s="314"/>
      <c r="AK13" s="314"/>
      <c r="AL13" s="314"/>
      <c r="AM13" s="314"/>
      <c r="AN13" s="314"/>
      <c r="AO13" s="314"/>
    </row>
    <row r="14" spans="1:41" ht="15.75" customHeight="1">
      <c r="A14" s="231" t="s">
        <v>670</v>
      </c>
      <c r="B14" s="260">
        <f>('Pivot Table for Data Exchange'!$J$151)*100</f>
        <v>78.61422310466007</v>
      </c>
      <c r="C14" s="260">
        <f>('Pivot Table for Data Exchange'!$J$154)*100</f>
        <v>1.7336230351676303</v>
      </c>
      <c r="D14" s="261">
        <f t="shared" si="0"/>
        <v>19.652153860172312</v>
      </c>
      <c r="E14" s="260">
        <f>('Pivot Table for Data Exchange'!$J$157)*100</f>
        <v>19.609027975569383</v>
      </c>
      <c r="F14" s="272">
        <f>('Pivot Table for Data Exchange'!$J$160)*100</f>
        <v>2.1505210193562579E-2</v>
      </c>
      <c r="G14" s="268">
        <f>('Pivot Table for Data Exchange'!$J$163)*100</f>
        <v>2.1620674409366943E-2</v>
      </c>
      <c r="H14" s="272">
        <f>('Pivot Table for Data Exchange'!$J$166)*100</f>
        <v>0</v>
      </c>
      <c r="I14" s="231" t="s">
        <v>670</v>
      </c>
      <c r="J14" s="260">
        <f>('Pivot Table for Data Exchange'!$J$169)*100</f>
        <v>61.984985330577459</v>
      </c>
      <c r="K14" s="260">
        <f>('Pivot Table for Data Exchange'!$J$172)*100</f>
        <v>10.565560924793296</v>
      </c>
      <c r="L14" s="261">
        <f t="shared" si="1"/>
        <v>27.449453744629256</v>
      </c>
      <c r="M14" s="260">
        <f>('Pivot Table for Data Exchange'!$J$175)*100</f>
        <v>27.442957163686998</v>
      </c>
      <c r="N14" s="269">
        <f>('Pivot Table for Data Exchange'!$J$178)*100</f>
        <v>1.9275569828678737E-3</v>
      </c>
      <c r="O14" s="268">
        <f>('Pivot Table for Data Exchange'!$J$181)*100</f>
        <v>4.569023959390516E-3</v>
      </c>
      <c r="P14" s="269">
        <f>('Pivot Table for Data Exchange'!$J$184)*100</f>
        <v>0</v>
      </c>
      <c r="Q14" s="265">
        <f t="shared" si="3"/>
        <v>100</v>
      </c>
      <c r="R14" s="265">
        <f>SUM(J14,K14,L14,P14)</f>
        <v>100.00000000000001</v>
      </c>
      <c r="S14" s="314"/>
      <c r="T14" s="315"/>
      <c r="U14" s="315"/>
      <c r="V14" s="315"/>
      <c r="W14" s="315"/>
      <c r="X14" s="315"/>
      <c r="Y14" s="315"/>
      <c r="Z14" s="315"/>
      <c r="AA14" s="315"/>
      <c r="AB14" s="315"/>
      <c r="AC14" s="315"/>
      <c r="AD14" s="315"/>
      <c r="AE14" s="315"/>
      <c r="AF14" s="314"/>
      <c r="AG14" s="314"/>
      <c r="AH14" s="314"/>
      <c r="AI14" s="314"/>
      <c r="AJ14" s="314"/>
      <c r="AK14" s="314"/>
      <c r="AL14" s="314"/>
      <c r="AM14" s="314"/>
      <c r="AN14" s="314"/>
      <c r="AO14" s="314"/>
    </row>
    <row r="15" spans="1:41" ht="15.75" customHeight="1">
      <c r="A15" s="231" t="s">
        <v>671</v>
      </c>
      <c r="B15" s="260">
        <f>('Pivot Table for Data Exchange'!$J$187)*100</f>
        <v>77.305342709215168</v>
      </c>
      <c r="C15" s="260">
        <f>('Pivot Table for Data Exchange'!$J$190)*100</f>
        <v>4.149498598697857</v>
      </c>
      <c r="D15" s="261">
        <f t="shared" si="0"/>
        <v>18.545158692086979</v>
      </c>
      <c r="E15" s="260">
        <f>('Pivot Table for Data Exchange'!$J$193)*100</f>
        <v>17.666257024446296</v>
      </c>
      <c r="F15" s="260">
        <f>('Pivot Table for Data Exchange'!$J$196)*100</f>
        <v>0.82519187194343757</v>
      </c>
      <c r="G15" s="267">
        <f>('Pivot Table for Data Exchange'!$J$199)*100</f>
        <v>5.3709795697244288E-2</v>
      </c>
      <c r="H15" s="260">
        <f>('Pivot Table for Data Exchange'!$J$202)*100</f>
        <v>0</v>
      </c>
      <c r="I15" s="231" t="s">
        <v>671</v>
      </c>
      <c r="J15" s="260">
        <f>('Pivot Table for Data Exchange'!$J$205)*100</f>
        <v>52.324275836742309</v>
      </c>
      <c r="K15" s="260">
        <f>('Pivot Table for Data Exchange'!$J$208)*100</f>
        <v>3.7558961021760271</v>
      </c>
      <c r="L15" s="261">
        <f t="shared" si="1"/>
        <v>43.919828061081667</v>
      </c>
      <c r="M15" s="260">
        <f>('Pivot Table for Data Exchange'!$J$211)*100</f>
        <v>43.604064886472756</v>
      </c>
      <c r="N15" s="260">
        <f>('Pivot Table for Data Exchange'!$J$214)*100</f>
        <v>0.21010743172261001</v>
      </c>
      <c r="O15" s="267">
        <f>('Pivot Table for Data Exchange'!$J$217)*100</f>
        <v>0.10565574288629817</v>
      </c>
      <c r="P15" s="260">
        <f>('Pivot Table for Data Exchange'!$J$220)*100</f>
        <v>0</v>
      </c>
      <c r="Q15" s="265">
        <f t="shared" si="3"/>
        <v>100</v>
      </c>
      <c r="R15" s="265">
        <f t="shared" si="2"/>
        <v>100</v>
      </c>
      <c r="S15" s="314"/>
      <c r="T15" s="315"/>
      <c r="U15" s="315"/>
      <c r="V15" s="315"/>
      <c r="W15" s="315"/>
      <c r="X15" s="315"/>
      <c r="Y15" s="315"/>
      <c r="Z15" s="315"/>
      <c r="AA15" s="315"/>
      <c r="AB15" s="315"/>
      <c r="AC15" s="315"/>
      <c r="AD15" s="315"/>
      <c r="AE15" s="315"/>
      <c r="AF15" s="314"/>
      <c r="AG15" s="314"/>
      <c r="AH15" s="314"/>
      <c r="AI15" s="314"/>
      <c r="AJ15" s="314"/>
      <c r="AK15" s="314"/>
      <c r="AL15" s="314"/>
      <c r="AM15" s="314"/>
      <c r="AN15" s="314"/>
      <c r="AO15" s="314"/>
    </row>
    <row r="16" spans="1:41" ht="15.75" customHeight="1">
      <c r="A16" s="231" t="s">
        <v>672</v>
      </c>
      <c r="B16" s="260">
        <f>('Pivot Table for Data Exchange'!$J$223)*100</f>
        <v>82.814677764193576</v>
      </c>
      <c r="C16" s="260">
        <f>('Pivot Table for Data Exchange'!$J$226)*100</f>
        <v>0</v>
      </c>
      <c r="D16" s="261">
        <f>SUM(E16:G16)</f>
        <v>17.185322235806392</v>
      </c>
      <c r="E16" s="260">
        <f>('Pivot Table for Data Exchange'!$J$229)*100</f>
        <v>17.185322235806392</v>
      </c>
      <c r="F16" s="260">
        <f>('Pivot Table for Data Exchange'!$J$232)*100</f>
        <v>0</v>
      </c>
      <c r="G16" s="268">
        <f>('Pivot Table for Data Exchange'!$J$235)*100</f>
        <v>0</v>
      </c>
      <c r="H16" s="260">
        <f>('Pivot Table for Data Exchange'!$J$238)*100</f>
        <v>0</v>
      </c>
      <c r="I16" s="231" t="s">
        <v>672</v>
      </c>
      <c r="J16" s="260">
        <f>('Pivot Table for Data Exchange'!$J$241)*100</f>
        <v>65.388391040216803</v>
      </c>
      <c r="K16" s="260">
        <f>('Pivot Table for Data Exchange'!$J$244)*100</f>
        <v>0</v>
      </c>
      <c r="L16" s="261">
        <f>SUM(M16:O16)</f>
        <v>34.611608959783204</v>
      </c>
      <c r="M16" s="260">
        <f>('Pivot Table for Data Exchange'!$J$247)*100</f>
        <v>34.611608959783204</v>
      </c>
      <c r="N16" s="260">
        <f>('Pivot Table for Data Exchange'!$J$250)*100</f>
        <v>0</v>
      </c>
      <c r="O16" s="268">
        <f>('Pivot Table for Data Exchange'!$J$253)*100</f>
        <v>0</v>
      </c>
      <c r="P16" s="260">
        <f>('Pivot Table for Data Exchange'!$J$256)*100</f>
        <v>0</v>
      </c>
      <c r="Q16" s="265">
        <f>SUM(B16,C16,D16,H16)</f>
        <v>99.999999999999972</v>
      </c>
      <c r="R16" s="265">
        <f>SUM(J16,K16,L16,P16)</f>
        <v>100</v>
      </c>
      <c r="S16" s="314"/>
      <c r="T16" s="315"/>
      <c r="U16" s="315"/>
      <c r="V16" s="315"/>
      <c r="W16" s="315"/>
      <c r="X16" s="315"/>
      <c r="Y16" s="315"/>
      <c r="Z16" s="315"/>
      <c r="AA16" s="315"/>
      <c r="AB16" s="315"/>
      <c r="AC16" s="315"/>
      <c r="AD16" s="315"/>
      <c r="AE16" s="315"/>
      <c r="AF16" s="314"/>
      <c r="AG16" s="314"/>
      <c r="AH16" s="314"/>
      <c r="AI16" s="314"/>
      <c r="AJ16" s="314"/>
      <c r="AK16" s="314"/>
      <c r="AL16" s="314"/>
      <c r="AM16" s="314"/>
      <c r="AN16" s="314"/>
      <c r="AO16" s="314"/>
    </row>
    <row r="17" spans="1:41" ht="15.75" customHeight="1">
      <c r="A17" s="231" t="s">
        <v>673</v>
      </c>
      <c r="B17" s="260">
        <f>('Pivot Table for Data Exchange'!$J$259)*100</f>
        <v>66.064182033887221</v>
      </c>
      <c r="C17" s="260">
        <f>('Pivot Table for Data Exchange'!$J$262)*100</f>
        <v>2.5193681494564792</v>
      </c>
      <c r="D17" s="261">
        <f>SUM(E17:G17)</f>
        <v>31.416449816656304</v>
      </c>
      <c r="E17" s="260">
        <f>('Pivot Table for Data Exchange'!$J$265)*100</f>
        <v>31.160853185185424</v>
      </c>
      <c r="F17" s="260">
        <f>('Pivot Table for Data Exchange'!$J$268)*100</f>
        <v>0.25559663147087897</v>
      </c>
      <c r="G17" s="268">
        <f>('Pivot Table for Data Exchange'!$J$271)*100</f>
        <v>0</v>
      </c>
      <c r="H17" s="316">
        <f>('Pivot Table for Data Exchange'!$J$274)*100</f>
        <v>0</v>
      </c>
      <c r="I17" s="231" t="s">
        <v>673</v>
      </c>
      <c r="J17" s="260">
        <f>('Pivot Table for Data Exchange'!$J$277)*100</f>
        <v>46.011028927470562</v>
      </c>
      <c r="K17" s="260">
        <f>('Pivot Table for Data Exchange'!$J$280)*100</f>
        <v>6.7732895118160021</v>
      </c>
      <c r="L17" s="261">
        <f>SUM(M17:O17)</f>
        <v>47.215681560713435</v>
      </c>
      <c r="M17" s="260">
        <f>('Pivot Table for Data Exchange'!$J$283)*100</f>
        <v>46.599853123271068</v>
      </c>
      <c r="N17" s="260">
        <f>('Pivot Table for Data Exchange'!$J$286)*100</f>
        <v>0.61582843744236904</v>
      </c>
      <c r="O17" s="268">
        <f>('Pivot Table for Data Exchange'!$J$289)*100</f>
        <v>0</v>
      </c>
      <c r="P17" s="260">
        <f>('Pivot Table for Data Exchange'!$J$292)*100</f>
        <v>0</v>
      </c>
      <c r="Q17" s="265">
        <f>SUM(B17,C17,D17,H17)</f>
        <v>100</v>
      </c>
      <c r="R17" s="265">
        <f>SUM(J17,K17,L17,P17)</f>
        <v>100</v>
      </c>
      <c r="S17" s="314"/>
      <c r="T17" s="315"/>
      <c r="U17" s="315"/>
      <c r="V17" s="315"/>
      <c r="W17" s="315"/>
      <c r="X17" s="315"/>
      <c r="Y17" s="315"/>
      <c r="Z17" s="315"/>
      <c r="AA17" s="315"/>
      <c r="AB17" s="315"/>
      <c r="AC17" s="315"/>
      <c r="AD17" s="315"/>
      <c r="AE17" s="315"/>
      <c r="AF17" s="314"/>
      <c r="AG17" s="314"/>
      <c r="AH17" s="314"/>
      <c r="AI17" s="314"/>
      <c r="AJ17" s="314"/>
      <c r="AK17" s="314"/>
      <c r="AL17" s="314"/>
      <c r="AM17" s="314"/>
      <c r="AN17" s="314"/>
      <c r="AO17" s="314"/>
    </row>
    <row r="18" spans="1:41" ht="11.25" customHeight="1">
      <c r="B18" s="260"/>
      <c r="C18" s="260"/>
      <c r="D18" s="261"/>
      <c r="E18" s="260"/>
      <c r="F18" s="260"/>
      <c r="G18" s="268"/>
      <c r="H18" s="260"/>
      <c r="I18" s="231"/>
      <c r="J18" s="260"/>
      <c r="K18" s="260"/>
      <c r="L18" s="261"/>
      <c r="M18" s="260"/>
      <c r="N18" s="260"/>
      <c r="O18" s="268"/>
      <c r="P18" s="260"/>
      <c r="Q18" s="265">
        <f t="shared" si="3"/>
        <v>0</v>
      </c>
      <c r="R18" s="265">
        <f t="shared" si="2"/>
        <v>0</v>
      </c>
      <c r="S18" s="314"/>
      <c r="T18" s="315"/>
      <c r="U18" s="315"/>
      <c r="V18" s="315"/>
      <c r="W18" s="315"/>
      <c r="X18" s="315"/>
      <c r="Y18" s="315"/>
      <c r="Z18" s="315"/>
      <c r="AA18" s="315"/>
      <c r="AB18" s="315"/>
      <c r="AC18" s="315"/>
      <c r="AD18" s="315"/>
      <c r="AE18" s="315"/>
      <c r="AF18" s="314"/>
      <c r="AG18" s="314"/>
      <c r="AH18" s="314"/>
      <c r="AI18" s="314"/>
      <c r="AJ18" s="314"/>
      <c r="AK18" s="314"/>
      <c r="AL18" s="314"/>
      <c r="AM18" s="314"/>
      <c r="AN18" s="314"/>
      <c r="AO18" s="314"/>
    </row>
    <row r="19" spans="1:41" ht="15.75" customHeight="1">
      <c r="A19" s="231" t="s">
        <v>674</v>
      </c>
      <c r="B19" s="260">
        <f>('Pivot Table for Data Exchange'!$J$295)*100</f>
        <v>74.564186359618176</v>
      </c>
      <c r="C19" s="260">
        <f>('Pivot Table for Data Exchange'!$J$298)*100</f>
        <v>4.010696984333709</v>
      </c>
      <c r="D19" s="261">
        <f>SUM(E19:G19)</f>
        <v>21.09396435588118</v>
      </c>
      <c r="E19" s="260">
        <f>('Pivot Table for Data Exchange'!$J$301)*100</f>
        <v>20.406850655831828</v>
      </c>
      <c r="F19" s="260">
        <f>('Pivot Table for Data Exchange'!$J$304)*100</f>
        <v>0.68536504103856799</v>
      </c>
      <c r="G19" s="271">
        <f>('Pivot Table for Data Exchange'!$J$307)*100</f>
        <v>1.7486590107825047E-3</v>
      </c>
      <c r="H19" s="260">
        <f>('Pivot Table for Data Exchange'!$J$310)*100</f>
        <v>0.33115230016693686</v>
      </c>
      <c r="I19" s="231" t="s">
        <v>674</v>
      </c>
      <c r="J19" s="260">
        <f>('Pivot Table for Data Exchange'!$J$313)*100</f>
        <v>59.822784487049141</v>
      </c>
      <c r="K19" s="260">
        <f>('Pivot Table for Data Exchange'!$J$316)*100</f>
        <v>4.8727885282094254</v>
      </c>
      <c r="L19" s="261">
        <f>SUM(M19:O19)</f>
        <v>35.24699997022303</v>
      </c>
      <c r="M19" s="260">
        <f>('Pivot Table for Data Exchange'!$J$319)*100</f>
        <v>34.645079781011653</v>
      </c>
      <c r="N19" s="260">
        <f>('Pivot Table for Data Exchange'!$J$322)*100</f>
        <v>0.59553940982044495</v>
      </c>
      <c r="O19" s="267">
        <f>('Pivot Table for Data Exchange'!$J$325)*100</f>
        <v>6.3807793909333383E-3</v>
      </c>
      <c r="P19" s="272">
        <f>('Pivot Table for Data Exchange'!$J$328)*100</f>
        <v>5.7427014518400044E-2</v>
      </c>
      <c r="Q19" s="265">
        <f>SUM(B19,C19,D19,H19)</f>
        <v>100</v>
      </c>
      <c r="R19" s="265">
        <f>SUM(J19,K19,L19,P19)</f>
        <v>99.999999999999986</v>
      </c>
      <c r="S19" s="314"/>
      <c r="T19" s="315"/>
      <c r="U19" s="315"/>
      <c r="V19" s="315"/>
      <c r="W19" s="315"/>
      <c r="X19" s="315"/>
      <c r="Y19" s="315"/>
      <c r="Z19" s="315"/>
      <c r="AA19" s="315"/>
      <c r="AB19" s="315"/>
      <c r="AC19" s="315"/>
      <c r="AD19" s="315"/>
      <c r="AE19" s="315"/>
      <c r="AF19" s="314"/>
      <c r="AG19" s="314"/>
      <c r="AH19" s="314"/>
      <c r="AI19" s="314"/>
      <c r="AJ19" s="314"/>
      <c r="AK19" s="314"/>
      <c r="AL19" s="314"/>
      <c r="AM19" s="314"/>
      <c r="AN19" s="314"/>
      <c r="AO19" s="314"/>
    </row>
    <row r="20" spans="1:41" ht="15.75" customHeight="1">
      <c r="A20" s="231" t="s">
        <v>675</v>
      </c>
      <c r="B20" s="260">
        <f>('Pivot Table for Data Exchange'!$J$331)*100</f>
        <v>80.899963958632696</v>
      </c>
      <c r="C20" s="260">
        <f>('Pivot Table for Data Exchange'!$J$334)*100</f>
        <v>0.7839113113882481</v>
      </c>
      <c r="D20" s="261">
        <f>SUM(E20:G20)</f>
        <v>18.316124729979055</v>
      </c>
      <c r="E20" s="260">
        <f>('Pivot Table for Data Exchange'!$J$337)*100</f>
        <v>18.087341203429862</v>
      </c>
      <c r="F20" s="260">
        <f>('Pivot Table for Data Exchange'!$J$340)*100</f>
        <v>6.6453874780273106E-2</v>
      </c>
      <c r="G20" s="267">
        <f>('Pivot Table for Data Exchange'!$J$343)*100</f>
        <v>0.16232965176892011</v>
      </c>
      <c r="H20" s="260">
        <f>('Pivot Table for Data Exchange'!$J$346)*100</f>
        <v>0</v>
      </c>
      <c r="I20" s="231" t="s">
        <v>675</v>
      </c>
      <c r="J20" s="260">
        <f>('Pivot Table for Data Exchange'!$J$349)*100</f>
        <v>65.981301132057382</v>
      </c>
      <c r="K20" s="260">
        <f>('Pivot Table for Data Exchange'!$J$352)*100</f>
        <v>2.6189199471566758</v>
      </c>
      <c r="L20" s="261">
        <f>SUM(M20:O20)</f>
        <v>31.399778920785941</v>
      </c>
      <c r="M20" s="260">
        <f>('Pivot Table for Data Exchange'!$J$355)*100</f>
        <v>31.208416587531492</v>
      </c>
      <c r="N20" s="260">
        <f>('Pivot Table for Data Exchange'!$J$358)*100</f>
        <v>1.3540352947872637E-2</v>
      </c>
      <c r="O20" s="268">
        <f>('Pivot Table for Data Exchange'!$J$361)*100</f>
        <v>0.17782198030657517</v>
      </c>
      <c r="P20" s="260">
        <f>('Pivot Table for Data Exchange'!$J$364)*100</f>
        <v>0</v>
      </c>
      <c r="Q20" s="265">
        <f>SUM(B20,C20,D20,H20)</f>
        <v>100</v>
      </c>
      <c r="R20" s="265">
        <f>SUM(J20,K20,L20,P20)</f>
        <v>100</v>
      </c>
      <c r="S20" s="314"/>
      <c r="T20" s="315"/>
      <c r="U20" s="315"/>
      <c r="V20" s="315"/>
      <c r="W20" s="315"/>
      <c r="X20" s="315"/>
      <c r="Y20" s="315"/>
      <c r="Z20" s="315"/>
      <c r="AA20" s="315"/>
      <c r="AB20" s="315"/>
      <c r="AC20" s="315"/>
      <c r="AD20" s="315"/>
      <c r="AE20" s="315"/>
      <c r="AF20" s="314"/>
      <c r="AG20" s="314"/>
      <c r="AH20" s="314"/>
      <c r="AI20" s="314"/>
      <c r="AJ20" s="314"/>
      <c r="AK20" s="314"/>
      <c r="AL20" s="314"/>
      <c r="AM20" s="314"/>
      <c r="AN20" s="314"/>
      <c r="AO20" s="314"/>
    </row>
    <row r="21" spans="1:41" ht="15.75" customHeight="1">
      <c r="A21" s="231" t="s">
        <v>676</v>
      </c>
      <c r="B21" s="260">
        <f>('Pivot Table for Data Exchange'!$J$367)*100</f>
        <v>77.334679411411884</v>
      </c>
      <c r="C21" s="260">
        <f>('Pivot Table for Data Exchange'!$J$370)*100</f>
        <v>1.0468365516953748</v>
      </c>
      <c r="D21" s="261">
        <f>SUM(E21:G21)</f>
        <v>21.618484036892745</v>
      </c>
      <c r="E21" s="260">
        <f>('Pivot Table for Data Exchange'!$J$373)*100</f>
        <v>20.320332758756351</v>
      </c>
      <c r="F21" s="260">
        <f>('Pivot Table for Data Exchange'!$J$376)*100</f>
        <v>0.95091128998623686</v>
      </c>
      <c r="G21" s="268">
        <f>('Pivot Table for Data Exchange'!$J$379)*100</f>
        <v>0.34723998815015594</v>
      </c>
      <c r="H21" s="260">
        <f>('Pivot Table for Data Exchange'!$J$382)*100</f>
        <v>0</v>
      </c>
      <c r="I21" s="231" t="s">
        <v>676</v>
      </c>
      <c r="J21" s="260">
        <f>('Pivot Table for Data Exchange'!$J$385)*100</f>
        <v>64.869978377148058</v>
      </c>
      <c r="K21" s="260">
        <f>('Pivot Table for Data Exchange'!$J$388)*100</f>
        <v>4.4801980198019802</v>
      </c>
      <c r="L21" s="261">
        <f>SUM(M21:O21)</f>
        <v>30.64982360304996</v>
      </c>
      <c r="M21" s="260">
        <f>('Pivot Table for Data Exchange'!$J$391)*100</f>
        <v>28.782576533515421</v>
      </c>
      <c r="N21" s="260">
        <f>('Pivot Table for Data Exchange'!$J$394)*100</f>
        <v>0.69847501991578465</v>
      </c>
      <c r="O21" s="268">
        <f>('Pivot Table for Data Exchange'!$J$397)*100</f>
        <v>1.168772049618755</v>
      </c>
      <c r="P21" s="260">
        <f>('Pivot Table for Data Exchange'!$J$400)*100</f>
        <v>0</v>
      </c>
      <c r="Q21" s="265">
        <f>SUM(B21,C21,D21,H21)</f>
        <v>100</v>
      </c>
      <c r="R21" s="265">
        <f>SUM(J21,K21,L21,P21)</f>
        <v>100</v>
      </c>
      <c r="S21" s="314"/>
      <c r="T21" s="315"/>
      <c r="U21" s="315"/>
      <c r="V21" s="315"/>
      <c r="W21" s="315"/>
      <c r="X21" s="315"/>
      <c r="Y21" s="315"/>
      <c r="Z21" s="315"/>
      <c r="AA21" s="315"/>
      <c r="AB21" s="315"/>
      <c r="AC21" s="315"/>
      <c r="AD21" s="315"/>
      <c r="AE21" s="315"/>
      <c r="AF21" s="314"/>
      <c r="AG21" s="314"/>
      <c r="AH21" s="314"/>
      <c r="AI21" s="314"/>
      <c r="AJ21" s="314"/>
      <c r="AK21" s="314"/>
      <c r="AL21" s="314"/>
      <c r="AM21" s="314"/>
      <c r="AN21" s="314"/>
      <c r="AO21" s="314"/>
    </row>
    <row r="22" spans="1:41" ht="15.75" customHeight="1">
      <c r="A22" s="231" t="s">
        <v>677</v>
      </c>
      <c r="B22" s="260">
        <f>('Pivot Table for Data Exchange'!$J$403)*100</f>
        <v>84.582188011947693</v>
      </c>
      <c r="C22" s="260">
        <f>('Pivot Table for Data Exchange'!$J$406)*100</f>
        <v>2.1443675256420383</v>
      </c>
      <c r="D22" s="261">
        <f>SUM(E22:G22)</f>
        <v>13.27344446241027</v>
      </c>
      <c r="E22" s="260">
        <f>('Pivot Table for Data Exchange'!$J$409)*100</f>
        <v>13.273229588747926</v>
      </c>
      <c r="F22" s="260">
        <f>('Pivot Table for Data Exchange'!$J$412)*100</f>
        <v>2.1487366234430386E-4</v>
      </c>
      <c r="G22" s="268">
        <f>('Pivot Table for Data Exchange'!$J$415)*100</f>
        <v>0</v>
      </c>
      <c r="H22" s="260">
        <f>('Pivot Table for Data Exchange'!$J$418)*100</f>
        <v>0</v>
      </c>
      <c r="I22" s="231" t="s">
        <v>677</v>
      </c>
      <c r="J22" s="260">
        <f>('Pivot Table for Data Exchange'!$J$421)*100</f>
        <v>61.481818850460257</v>
      </c>
      <c r="K22" s="260">
        <f>('Pivot Table for Data Exchange'!$J$424)*100</f>
        <v>10.071344109443334</v>
      </c>
      <c r="L22" s="261">
        <f>SUM(M22:O22)</f>
        <v>28.446837040096408</v>
      </c>
      <c r="M22" s="260">
        <f>('Pivot Table for Data Exchange'!$J$427)*100</f>
        <v>25.539607013335296</v>
      </c>
      <c r="N22" s="260">
        <f>('Pivot Table for Data Exchange'!$J$430)*100</f>
        <v>2.9072300267611135</v>
      </c>
      <c r="O22" s="268">
        <f>('Pivot Table for Data Exchange'!$J$433)*100</f>
        <v>0</v>
      </c>
      <c r="P22" s="260">
        <f>('Pivot Table for Data Exchange'!$J$436)*100</f>
        <v>0</v>
      </c>
      <c r="Q22" s="265">
        <f>SUM(B22,C22,D22,H22)</f>
        <v>100</v>
      </c>
      <c r="R22" s="265">
        <f>SUM(J22,K22,L22,P22)</f>
        <v>100</v>
      </c>
      <c r="S22" s="314"/>
      <c r="T22" s="315"/>
      <c r="U22" s="315"/>
      <c r="V22" s="315"/>
      <c r="W22" s="315"/>
      <c r="X22" s="315"/>
      <c r="Y22" s="315"/>
      <c r="Z22" s="315"/>
      <c r="AA22" s="315"/>
      <c r="AB22" s="315"/>
      <c r="AC22" s="315"/>
      <c r="AD22" s="315"/>
      <c r="AE22" s="315"/>
      <c r="AF22" s="314"/>
      <c r="AG22" s="314"/>
      <c r="AH22" s="314"/>
      <c r="AI22" s="314"/>
      <c r="AJ22" s="314"/>
      <c r="AK22" s="314"/>
      <c r="AL22" s="314"/>
      <c r="AM22" s="314"/>
      <c r="AN22" s="314"/>
      <c r="AO22" s="314"/>
    </row>
    <row r="23" spans="1:41" ht="9.75" customHeight="1">
      <c r="B23" s="260"/>
      <c r="C23" s="260"/>
      <c r="D23" s="261"/>
      <c r="E23" s="260"/>
      <c r="F23" s="260"/>
      <c r="G23" s="268"/>
      <c r="H23" s="260"/>
      <c r="I23" s="231"/>
      <c r="J23" s="260"/>
      <c r="K23" s="260"/>
      <c r="L23" s="261"/>
      <c r="M23" s="260"/>
      <c r="N23" s="260"/>
      <c r="O23" s="268"/>
      <c r="P23" s="260"/>
      <c r="Q23" s="265">
        <f t="shared" si="3"/>
        <v>0</v>
      </c>
      <c r="R23" s="265">
        <f t="shared" si="2"/>
        <v>0</v>
      </c>
      <c r="S23" s="314"/>
      <c r="T23" s="315"/>
      <c r="U23" s="315"/>
      <c r="V23" s="315"/>
      <c r="W23" s="315"/>
      <c r="X23" s="315"/>
      <c r="Y23" s="315"/>
      <c r="Z23" s="315"/>
      <c r="AA23" s="315"/>
      <c r="AB23" s="315"/>
      <c r="AC23" s="315"/>
      <c r="AD23" s="315"/>
      <c r="AE23" s="315"/>
      <c r="AF23" s="314"/>
      <c r="AG23" s="314"/>
      <c r="AH23" s="314"/>
      <c r="AI23" s="314"/>
      <c r="AJ23" s="314"/>
      <c r="AK23" s="314"/>
      <c r="AL23" s="314"/>
      <c r="AM23" s="314"/>
      <c r="AN23" s="314"/>
      <c r="AO23" s="314"/>
    </row>
    <row r="24" spans="1:41" ht="15.75" customHeight="1">
      <c r="A24" s="231" t="s">
        <v>678</v>
      </c>
      <c r="B24" s="260">
        <f>('Pivot Table for Data Exchange'!$J$439)*100</f>
        <v>73.629371376539126</v>
      </c>
      <c r="C24" s="260">
        <f>('Pivot Table for Data Exchange'!$J$442)*100</f>
        <v>3.1045305723290255</v>
      </c>
      <c r="D24" s="261">
        <f>SUM(E24:G24)</f>
        <v>22.613968669206905</v>
      </c>
      <c r="E24" s="260">
        <f>('Pivot Table for Data Exchange'!$J$445)*100</f>
        <v>17.069865123378865</v>
      </c>
      <c r="F24" s="260">
        <f>('Pivot Table for Data Exchange'!$J$448)*100</f>
        <v>0.45637147249555432</v>
      </c>
      <c r="G24" s="268">
        <f>('Pivot Table for Data Exchange'!$J$451)*100</f>
        <v>5.0877320733324849</v>
      </c>
      <c r="H24" s="260">
        <f>('Pivot Table for Data Exchange'!$J$454)*100</f>
        <v>0.6521293819249403</v>
      </c>
      <c r="I24" s="231" t="s">
        <v>678</v>
      </c>
      <c r="J24" s="260">
        <f>('Pivot Table for Data Exchange'!$J$457)*100</f>
        <v>52.391401742692302</v>
      </c>
      <c r="K24" s="260">
        <f>('Pivot Table for Data Exchange'!$J$460)*100</f>
        <v>3.3787140405896747</v>
      </c>
      <c r="L24" s="261">
        <f>SUM(M24:O24)</f>
        <v>40.720117764306814</v>
      </c>
      <c r="M24" s="260">
        <f>('Pivot Table for Data Exchange'!$J$463)*100</f>
        <v>37.500495256207465</v>
      </c>
      <c r="N24" s="260">
        <f>('Pivot Table for Data Exchange'!$J$466)*100</f>
        <v>0.18194951129641312</v>
      </c>
      <c r="O24" s="268">
        <f>('Pivot Table for Data Exchange'!$J$469)*100</f>
        <v>3.0376729968029306</v>
      </c>
      <c r="P24" s="260">
        <f>('Pivot Table for Data Exchange'!$J$472)*100</f>
        <v>3.5097664524112124</v>
      </c>
      <c r="Q24" s="265">
        <f>SUM(B24,C24,D24,H24)</f>
        <v>100</v>
      </c>
      <c r="R24" s="265">
        <f>SUM(J24,K24,L24,P24)</f>
        <v>100</v>
      </c>
      <c r="S24" s="314"/>
      <c r="T24" s="315"/>
      <c r="U24" s="315"/>
      <c r="V24" s="315"/>
      <c r="W24" s="315"/>
      <c r="X24" s="315"/>
      <c r="Y24" s="315"/>
      <c r="Z24" s="315"/>
      <c r="AA24" s="315"/>
      <c r="AB24" s="315"/>
      <c r="AC24" s="315"/>
      <c r="AD24" s="315"/>
      <c r="AE24" s="315"/>
      <c r="AF24" s="314"/>
      <c r="AG24" s="314"/>
      <c r="AH24" s="314"/>
      <c r="AI24" s="314"/>
      <c r="AJ24" s="314"/>
      <c r="AK24" s="314"/>
      <c r="AL24" s="314"/>
      <c r="AM24" s="314"/>
      <c r="AN24" s="314"/>
      <c r="AO24" s="314"/>
    </row>
    <row r="25" spans="1:41" ht="15.75" customHeight="1">
      <c r="A25" s="231" t="s">
        <v>679</v>
      </c>
      <c r="B25" s="260">
        <f>('Pivot Table for Data Exchange'!$J$475)*100</f>
        <v>0</v>
      </c>
      <c r="C25" s="260">
        <f>('Pivot Table for Data Exchange'!$J$478)*100</f>
        <v>0</v>
      </c>
      <c r="D25" s="261">
        <f>SUM(E25:G25)</f>
        <v>0</v>
      </c>
      <c r="E25" s="260">
        <f>('Pivot Table for Data Exchange'!$J$481)*100</f>
        <v>0</v>
      </c>
      <c r="F25" s="260">
        <f>('Pivot Table for Data Exchange'!$J$484)*100</f>
        <v>0</v>
      </c>
      <c r="G25" s="268">
        <f>('Pivot Table for Data Exchange'!$J$487)*100</f>
        <v>0</v>
      </c>
      <c r="H25" s="260">
        <f>('Pivot Table for Data Exchange'!$J$490)*100</f>
        <v>0</v>
      </c>
      <c r="I25" s="231" t="s">
        <v>679</v>
      </c>
      <c r="J25" s="260">
        <f>('Pivot Table for Data Exchange'!$J$493)*100</f>
        <v>0</v>
      </c>
      <c r="K25" s="260">
        <f>('Pivot Table for Data Exchange'!$J$496)*100</f>
        <v>0</v>
      </c>
      <c r="L25" s="261">
        <f>SUM(M25:O25)</f>
        <v>0</v>
      </c>
      <c r="M25" s="260">
        <f>('Pivot Table for Data Exchange'!$J$499)*100</f>
        <v>0</v>
      </c>
      <c r="N25" s="260">
        <f>('Pivot Table for Data Exchange'!$J$502)*100</f>
        <v>0</v>
      </c>
      <c r="O25" s="268">
        <f>('Pivot Table for Data Exchange'!$J$505)*100</f>
        <v>0</v>
      </c>
      <c r="P25" s="260">
        <f>('Pivot Table for Data Exchange'!$J$508)*100</f>
        <v>0</v>
      </c>
      <c r="Q25" s="265">
        <f>SUM(B25,C25,D25,H25)</f>
        <v>0</v>
      </c>
      <c r="R25" s="265">
        <f>SUM(J25,K25,L25,P25)</f>
        <v>0</v>
      </c>
      <c r="S25" s="314"/>
      <c r="T25" s="315"/>
      <c r="U25" s="315"/>
      <c r="V25" s="315"/>
      <c r="W25" s="315"/>
      <c r="X25" s="315"/>
      <c r="Y25" s="315"/>
      <c r="Z25" s="315"/>
      <c r="AA25" s="315"/>
      <c r="AB25" s="315"/>
      <c r="AC25" s="315"/>
      <c r="AD25" s="315"/>
      <c r="AE25" s="315"/>
      <c r="AF25" s="314"/>
      <c r="AG25" s="314"/>
      <c r="AH25" s="314"/>
      <c r="AI25" s="314"/>
      <c r="AJ25" s="314"/>
      <c r="AK25" s="314"/>
      <c r="AL25" s="314"/>
      <c r="AM25" s="314"/>
      <c r="AN25" s="314"/>
      <c r="AO25" s="314"/>
    </row>
    <row r="26" spans="1:41" ht="15.75" customHeight="1">
      <c r="A26" s="231" t="s">
        <v>680</v>
      </c>
      <c r="B26" s="260">
        <f>('Pivot Table for Data Exchange'!$J$511)*100</f>
        <v>88.156824593173013</v>
      </c>
      <c r="C26" s="260">
        <f>('Pivot Table for Data Exchange'!$J$514)*100</f>
        <v>1.5288349742064971</v>
      </c>
      <c r="D26" s="261">
        <f>SUM(E26:G26)</f>
        <v>10.314340432620485</v>
      </c>
      <c r="E26" s="260">
        <f>('Pivot Table for Data Exchange'!$J$517)*100</f>
        <v>9.7845139946320536</v>
      </c>
      <c r="F26" s="260">
        <f>('Pivot Table for Data Exchange'!$J$520)*100</f>
        <v>0.52881832009896335</v>
      </c>
      <c r="G26" s="268">
        <f>('Pivot Table for Data Exchange'!$J$523)*100</f>
        <v>1.008117889467293E-3</v>
      </c>
      <c r="H26" s="260">
        <f>('Pivot Table for Data Exchange'!$J$526)*100</f>
        <v>0</v>
      </c>
      <c r="I26" s="231" t="s">
        <v>680</v>
      </c>
      <c r="J26" s="260">
        <f>('Pivot Table for Data Exchange'!$J$529)*100</f>
        <v>74.189393376150264</v>
      </c>
      <c r="K26" s="260">
        <f>('Pivot Table for Data Exchange'!$J$532)*100</f>
        <v>7.369390287841787</v>
      </c>
      <c r="L26" s="261">
        <f>SUM(M26:O26)</f>
        <v>18.441216336007958</v>
      </c>
      <c r="M26" s="260">
        <f>('Pivot Table for Data Exchange'!$J$535)*100</f>
        <v>15.0026136240156</v>
      </c>
      <c r="N26" s="260">
        <f>('Pivot Table for Data Exchange'!$J$538)*100</f>
        <v>3.2257381915094392</v>
      </c>
      <c r="O26" s="268">
        <f>('Pivot Table for Data Exchange'!$J$541)*100</f>
        <v>0.21286452048291993</v>
      </c>
      <c r="P26" s="260">
        <f>('Pivot Table for Data Exchange'!$J$544)*100</f>
        <v>0</v>
      </c>
      <c r="Q26" s="265">
        <f>SUM(B26,C26,D26,H26)</f>
        <v>100</v>
      </c>
      <c r="R26" s="265">
        <f>SUM(J26,K26,L26,P26)</f>
        <v>100</v>
      </c>
      <c r="S26" s="314"/>
      <c r="T26" s="315"/>
      <c r="U26" s="315"/>
      <c r="V26" s="315"/>
      <c r="W26" s="315"/>
      <c r="X26" s="315"/>
      <c r="Y26" s="315"/>
      <c r="Z26" s="315"/>
      <c r="AA26" s="315"/>
      <c r="AB26" s="315"/>
      <c r="AC26" s="315"/>
      <c r="AD26" s="315"/>
      <c r="AE26" s="315"/>
      <c r="AF26" s="314"/>
      <c r="AG26" s="314"/>
      <c r="AH26" s="314"/>
      <c r="AI26" s="314"/>
      <c r="AJ26" s="314"/>
      <c r="AK26" s="314"/>
      <c r="AL26" s="314"/>
      <c r="AM26" s="314"/>
      <c r="AN26" s="314"/>
      <c r="AO26" s="314"/>
    </row>
    <row r="27" spans="1:41" ht="15.75" customHeight="1">
      <c r="A27" s="237" t="s">
        <v>681</v>
      </c>
      <c r="B27" s="273">
        <f>('Pivot Table for Data Exchange'!$J$547)*100</f>
        <v>77.320973591010585</v>
      </c>
      <c r="C27" s="273">
        <f>('Pivot Table for Data Exchange'!$J$550)*100</f>
        <v>4.8794675181851508</v>
      </c>
      <c r="D27" s="274">
        <f>SUM(E27:G27)</f>
        <v>17.799558890804267</v>
      </c>
      <c r="E27" s="273">
        <f>('Pivot Table for Data Exchange'!$J$553)*100</f>
        <v>17.231812577065352</v>
      </c>
      <c r="F27" s="273">
        <f>('Pivot Table for Data Exchange'!$J$556)*100</f>
        <v>0.39642265289614242</v>
      </c>
      <c r="G27" s="275">
        <f>('Pivot Table for Data Exchange'!$J$559)*100</f>
        <v>0.17132366084277303</v>
      </c>
      <c r="H27" s="273">
        <f>('Pivot Table for Data Exchange'!$J$562)*100</f>
        <v>0</v>
      </c>
      <c r="I27" s="237" t="s">
        <v>681</v>
      </c>
      <c r="J27" s="273">
        <f>('Pivot Table for Data Exchange'!$J$565)*100</f>
        <v>57.380653444759432</v>
      </c>
      <c r="K27" s="273">
        <f>('Pivot Table for Data Exchange'!$J$568)*100</f>
        <v>8.2223143829429439</v>
      </c>
      <c r="L27" s="274">
        <f>SUM(M27:O27)</f>
        <v>34.397032172297614</v>
      </c>
      <c r="M27" s="273">
        <f>('Pivot Table for Data Exchange'!$J$571)*100</f>
        <v>33.593718931263879</v>
      </c>
      <c r="N27" s="273">
        <f>('Pivot Table for Data Exchange'!$J$574)*100</f>
        <v>0.5391402162242005</v>
      </c>
      <c r="O27" s="275">
        <f>('Pivot Table for Data Exchange'!$J$577)*100</f>
        <v>0.26417302480953975</v>
      </c>
      <c r="P27" s="273">
        <f>('Pivot Table for Data Exchange'!$J$580)*100</f>
        <v>0</v>
      </c>
      <c r="Q27" s="265">
        <f t="shared" ref="Q27:Q90" si="4">SUM(B27,C27,D27,H27)</f>
        <v>100</v>
      </c>
      <c r="R27" s="265">
        <f t="shared" ref="R27:R90" si="5">SUM(J27,K27,L27,P27)</f>
        <v>99.999999999999986</v>
      </c>
      <c r="S27" s="314"/>
      <c r="T27" s="315"/>
      <c r="U27" s="315"/>
      <c r="V27" s="315"/>
      <c r="W27" s="315"/>
      <c r="X27" s="315"/>
      <c r="Y27" s="315"/>
      <c r="Z27" s="315"/>
      <c r="AA27" s="315"/>
      <c r="AB27" s="315"/>
      <c r="AC27" s="315"/>
      <c r="AD27" s="315"/>
      <c r="AE27" s="315"/>
      <c r="AF27" s="314"/>
      <c r="AG27" s="314"/>
      <c r="AH27" s="314"/>
      <c r="AI27" s="314"/>
      <c r="AJ27" s="314"/>
      <c r="AK27" s="314"/>
      <c r="AL27" s="314"/>
      <c r="AM27" s="314"/>
      <c r="AN27" s="314"/>
      <c r="AO27" s="314"/>
    </row>
    <row r="28" spans="1:41" s="304" customFormat="1" ht="33" customHeight="1">
      <c r="A28" s="500" t="s">
        <v>843</v>
      </c>
      <c r="B28" s="501"/>
      <c r="C28" s="501"/>
      <c r="D28" s="501"/>
      <c r="E28" s="501"/>
      <c r="F28" s="501"/>
      <c r="G28" s="501"/>
      <c r="H28" s="501"/>
      <c r="I28" s="500" t="s">
        <v>843</v>
      </c>
      <c r="J28" s="501"/>
      <c r="K28" s="501"/>
      <c r="L28" s="501"/>
      <c r="M28" s="501"/>
      <c r="N28" s="501"/>
      <c r="O28" s="501"/>
      <c r="P28" s="501"/>
      <c r="Q28" s="265">
        <f>SUM(B28,C28,D28,H28)</f>
        <v>0</v>
      </c>
      <c r="R28" s="265">
        <f>SUM(J28,K28,L28,P28)</f>
        <v>0</v>
      </c>
    </row>
    <row r="29" spans="1:41" s="304" customFormat="1" ht="10.5" customHeight="1">
      <c r="A29" s="279" t="s">
        <v>700</v>
      </c>
      <c r="B29" s="280"/>
      <c r="C29" s="280"/>
      <c r="D29" s="281"/>
      <c r="E29" s="280"/>
      <c r="F29" s="281"/>
      <c r="G29" s="281"/>
      <c r="H29" s="280"/>
      <c r="I29" s="279" t="s">
        <v>700</v>
      </c>
      <c r="J29" s="280"/>
      <c r="K29" s="280"/>
      <c r="L29" s="281"/>
      <c r="M29" s="280"/>
      <c r="N29" s="281"/>
      <c r="O29" s="281"/>
      <c r="P29" s="280"/>
      <c r="Q29" s="265">
        <f t="shared" si="4"/>
        <v>0</v>
      </c>
      <c r="R29" s="265">
        <f t="shared" si="5"/>
        <v>0</v>
      </c>
      <c r="S29" s="317"/>
      <c r="T29" s="314"/>
      <c r="U29" s="317"/>
      <c r="V29" s="317"/>
      <c r="W29" s="317"/>
      <c r="X29" s="317"/>
      <c r="Y29" s="317"/>
      <c r="Z29" s="317"/>
      <c r="AA29" s="317"/>
      <c r="AB29" s="317"/>
      <c r="AC29" s="317"/>
      <c r="AD29" s="317"/>
      <c r="AE29" s="317"/>
      <c r="AF29" s="317"/>
      <c r="AG29" s="317"/>
      <c r="AH29" s="317"/>
      <c r="AI29" s="317"/>
      <c r="AJ29" s="317"/>
      <c r="AK29" s="317"/>
      <c r="AL29" s="317"/>
      <c r="AM29" s="317"/>
      <c r="AN29" s="317"/>
      <c r="AO29" s="317"/>
    </row>
    <row r="30" spans="1:41" s="304" customFormat="1" ht="21.75" customHeight="1">
      <c r="A30" s="490" t="s">
        <v>701</v>
      </c>
      <c r="B30" s="491"/>
      <c r="C30" s="491"/>
      <c r="D30" s="491"/>
      <c r="E30" s="491"/>
      <c r="F30" s="491"/>
      <c r="G30" s="491"/>
      <c r="H30" s="491"/>
      <c r="I30" s="490" t="s">
        <v>701</v>
      </c>
      <c r="J30" s="491"/>
      <c r="K30" s="491"/>
      <c r="L30" s="491"/>
      <c r="M30" s="491"/>
      <c r="N30" s="491"/>
      <c r="O30" s="491"/>
      <c r="P30" s="491"/>
      <c r="Q30" s="265">
        <f t="shared" si="4"/>
        <v>0</v>
      </c>
      <c r="R30" s="265">
        <f t="shared" si="5"/>
        <v>0</v>
      </c>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row>
    <row r="31" spans="1:41" s="304" customFormat="1" ht="13.5" customHeight="1">
      <c r="A31" s="277"/>
      <c r="B31" s="151"/>
      <c r="C31" s="151"/>
      <c r="D31" s="151"/>
      <c r="E31" s="151"/>
      <c r="F31" s="151"/>
      <c r="G31" s="151"/>
      <c r="I31" s="277"/>
      <c r="J31" s="151"/>
      <c r="K31" s="151"/>
      <c r="L31" s="151"/>
      <c r="M31" s="151"/>
      <c r="N31" s="151"/>
      <c r="O31" s="151"/>
      <c r="P31" s="151"/>
      <c r="Q31" s="265">
        <f t="shared" si="4"/>
        <v>0</v>
      </c>
      <c r="R31" s="265">
        <f t="shared" si="5"/>
        <v>0</v>
      </c>
    </row>
    <row r="32" spans="1:41">
      <c r="H32" s="284" t="s">
        <v>839</v>
      </c>
      <c r="I32" s="231"/>
      <c r="P32" s="284" t="s">
        <v>839</v>
      </c>
      <c r="Q32" s="265">
        <f>SUM(B32,C32,D32,H32)</f>
        <v>0</v>
      </c>
      <c r="R32" s="265">
        <f t="shared" si="5"/>
        <v>0</v>
      </c>
    </row>
    <row r="33" spans="1:41" ht="18">
      <c r="A33" s="226" t="s">
        <v>702</v>
      </c>
      <c r="B33" s="227"/>
      <c r="C33" s="227"/>
      <c r="D33" s="227"/>
      <c r="E33" s="227"/>
      <c r="F33" s="227"/>
      <c r="G33" s="227"/>
      <c r="H33" s="227"/>
      <c r="I33" s="226" t="s">
        <v>703</v>
      </c>
      <c r="J33" s="228"/>
      <c r="K33" s="228"/>
      <c r="L33" s="227"/>
      <c r="M33" s="228"/>
      <c r="N33" s="228"/>
      <c r="O33" s="228"/>
      <c r="P33" s="228"/>
      <c r="Q33" s="265">
        <f t="shared" si="4"/>
        <v>0</v>
      </c>
      <c r="R33" s="265">
        <f t="shared" si="5"/>
        <v>0</v>
      </c>
    </row>
    <row r="34" spans="1:41" ht="13">
      <c r="A34" s="232"/>
      <c r="B34" s="228"/>
      <c r="C34" s="228"/>
      <c r="D34" s="228"/>
      <c r="E34" s="228"/>
      <c r="F34" s="228"/>
      <c r="G34" s="228"/>
      <c r="H34" s="228"/>
      <c r="I34" s="232"/>
      <c r="J34" s="228"/>
      <c r="K34" s="228"/>
      <c r="L34" s="228"/>
      <c r="M34" s="228"/>
      <c r="N34" s="228"/>
      <c r="O34" s="228"/>
      <c r="P34" s="228"/>
      <c r="Q34" s="265">
        <f t="shared" si="4"/>
        <v>0</v>
      </c>
      <c r="R34" s="265">
        <f t="shared" si="5"/>
        <v>0</v>
      </c>
    </row>
    <row r="35" spans="1:41" ht="15.5">
      <c r="A35" s="234" t="s">
        <v>687</v>
      </c>
      <c r="B35" s="228"/>
      <c r="C35" s="228"/>
      <c r="D35" s="228"/>
      <c r="E35" s="228"/>
      <c r="F35" s="228"/>
      <c r="G35" s="228"/>
      <c r="H35" s="228"/>
      <c r="I35" s="234" t="s">
        <v>688</v>
      </c>
      <c r="J35" s="228"/>
      <c r="K35" s="228"/>
      <c r="L35" s="228"/>
      <c r="M35" s="228"/>
      <c r="N35" s="228"/>
      <c r="O35" s="228"/>
      <c r="P35" s="228"/>
      <c r="Q35" s="265">
        <f t="shared" si="4"/>
        <v>0</v>
      </c>
      <c r="R35" s="265">
        <f t="shared" si="5"/>
        <v>0</v>
      </c>
    </row>
    <row r="36" spans="1:41" ht="15.5">
      <c r="A36" s="234" t="s">
        <v>825</v>
      </c>
      <c r="B36" s="228"/>
      <c r="C36" s="228"/>
      <c r="D36" s="228"/>
      <c r="E36" s="228"/>
      <c r="F36" s="228"/>
      <c r="G36" s="228"/>
      <c r="H36" s="228"/>
      <c r="I36" s="234" t="s">
        <v>825</v>
      </c>
      <c r="J36" s="228"/>
      <c r="K36" s="228"/>
      <c r="L36" s="228"/>
      <c r="M36" s="228"/>
      <c r="N36" s="228"/>
      <c r="O36" s="228"/>
      <c r="P36" s="228"/>
      <c r="Q36" s="265">
        <f t="shared" si="4"/>
        <v>0</v>
      </c>
      <c r="R36" s="265">
        <f t="shared" si="5"/>
        <v>0</v>
      </c>
    </row>
    <row r="37" spans="1:41">
      <c r="A37" s="237"/>
      <c r="B37" s="238"/>
      <c r="C37" s="238"/>
      <c r="D37" s="238"/>
      <c r="E37" s="238"/>
      <c r="F37" s="238"/>
      <c r="G37" s="238"/>
      <c r="H37" s="238"/>
      <c r="I37" s="239"/>
      <c r="L37" s="240"/>
      <c r="P37" s="237"/>
      <c r="Q37" s="265">
        <f t="shared" si="4"/>
        <v>0</v>
      </c>
      <c r="R37" s="265">
        <f t="shared" si="5"/>
        <v>0</v>
      </c>
    </row>
    <row r="38" spans="1:41" s="258" customFormat="1">
      <c r="A38" s="242"/>
      <c r="B38" s="243" t="s">
        <v>689</v>
      </c>
      <c r="C38" s="243"/>
      <c r="D38" s="243"/>
      <c r="E38" s="243"/>
      <c r="F38" s="243"/>
      <c r="G38" s="243"/>
      <c r="H38" s="244"/>
      <c r="I38" s="242"/>
      <c r="J38" s="243" t="s">
        <v>689</v>
      </c>
      <c r="K38" s="243"/>
      <c r="L38" s="243"/>
      <c r="M38" s="243"/>
      <c r="N38" s="243"/>
      <c r="O38" s="243"/>
      <c r="P38" s="244"/>
      <c r="Q38" s="265">
        <f t="shared" si="4"/>
        <v>0</v>
      </c>
      <c r="R38" s="265">
        <f t="shared" si="5"/>
        <v>0</v>
      </c>
    </row>
    <row r="39" spans="1:41" s="258" customFormat="1">
      <c r="A39" s="242"/>
      <c r="B39" s="243" t="s">
        <v>690</v>
      </c>
      <c r="C39" s="243"/>
      <c r="D39" s="485" t="s">
        <v>691</v>
      </c>
      <c r="E39" s="483"/>
      <c r="F39" s="483"/>
      <c r="G39" s="483"/>
      <c r="H39" s="250" t="s">
        <v>581</v>
      </c>
      <c r="I39" s="242"/>
      <c r="J39" s="243" t="s">
        <v>690</v>
      </c>
      <c r="K39" s="243"/>
      <c r="L39" s="485" t="s">
        <v>691</v>
      </c>
      <c r="M39" s="483"/>
      <c r="N39" s="483"/>
      <c r="O39" s="483"/>
      <c r="P39" s="250" t="s">
        <v>581</v>
      </c>
      <c r="Q39" s="265">
        <f t="shared" si="4"/>
        <v>0</v>
      </c>
      <c r="R39" s="265">
        <f t="shared" si="5"/>
        <v>0</v>
      </c>
    </row>
    <row r="40" spans="1:41" s="258" customFormat="1" ht="40.5" customHeight="1">
      <c r="A40" s="242"/>
      <c r="B40" s="251" t="s">
        <v>692</v>
      </c>
      <c r="C40" s="252" t="s">
        <v>693</v>
      </c>
      <c r="D40" s="253" t="s">
        <v>694</v>
      </c>
      <c r="E40" s="254" t="s">
        <v>8</v>
      </c>
      <c r="F40" s="251" t="s">
        <v>695</v>
      </c>
      <c r="G40" s="255" t="s">
        <v>704</v>
      </c>
      <c r="H40" s="256" t="s">
        <v>697</v>
      </c>
      <c r="I40" s="242"/>
      <c r="J40" s="251" t="s">
        <v>692</v>
      </c>
      <c r="K40" s="252" t="s">
        <v>693</v>
      </c>
      <c r="L40" s="253" t="s">
        <v>694</v>
      </c>
      <c r="M40" s="254" t="s">
        <v>8</v>
      </c>
      <c r="N40" s="251" t="s">
        <v>695</v>
      </c>
      <c r="O40" s="255" t="s">
        <v>704</v>
      </c>
      <c r="P40" s="256" t="s">
        <v>697</v>
      </c>
      <c r="Q40" s="265">
        <f t="shared" si="4"/>
        <v>0</v>
      </c>
      <c r="R40" s="265">
        <f t="shared" si="5"/>
        <v>0</v>
      </c>
      <c r="T40" s="257"/>
    </row>
    <row r="41" spans="1:41" ht="15.75" customHeight="1">
      <c r="A41" s="259" t="s">
        <v>666</v>
      </c>
      <c r="B41" s="313">
        <f>('Pivot Table for Data Exchange'!$C$7)*100</f>
        <v>83.966533582711619</v>
      </c>
      <c r="C41" s="272">
        <f>('Pivot Table for Data Exchange'!$C$10)*100</f>
        <v>1.1806281515383537</v>
      </c>
      <c r="D41" s="261">
        <f>SUM(E41:G41)</f>
        <v>14.852838265750027</v>
      </c>
      <c r="E41" s="260">
        <f>('Pivot Table for Data Exchange'!$C$13)*100</f>
        <v>14.778095722142186</v>
      </c>
      <c r="F41" s="272">
        <f>('Pivot Table for Data Exchange'!$C$16)*100</f>
        <v>7.4742543607840314E-2</v>
      </c>
      <c r="G41" s="264">
        <f>('Pivot Table for Data Exchange'!$C$19)*100</f>
        <v>0</v>
      </c>
      <c r="H41" s="260">
        <f>('Pivot Table for Data Exchange'!$C$22)*100</f>
        <v>0</v>
      </c>
      <c r="I41" s="263" t="s">
        <v>666</v>
      </c>
      <c r="J41" s="260">
        <f>('Pivot Table for Data Exchange'!$C$25)*100</f>
        <v>68.825207137105565</v>
      </c>
      <c r="K41" s="260">
        <f>('Pivot Table for Data Exchange'!$C$28)*100</f>
        <v>5.035256579095897</v>
      </c>
      <c r="L41" s="261">
        <f>SUM(M41:O41)</f>
        <v>26.139536283798527</v>
      </c>
      <c r="M41" s="260">
        <f>('Pivot Table for Data Exchange'!$C$31)*100</f>
        <v>25.964570336310889</v>
      </c>
      <c r="N41" s="260">
        <f>('Pivot Table for Data Exchange'!$C$34)*100</f>
        <v>0.17496594748763952</v>
      </c>
      <c r="O41" s="264">
        <f>('Pivot Table for Data Exchange'!$C$37)*100</f>
        <v>0</v>
      </c>
      <c r="P41" s="260">
        <f>('Pivot Table for Data Exchange'!$C$40)*100</f>
        <v>0</v>
      </c>
      <c r="Q41" s="265">
        <f t="shared" si="4"/>
        <v>100</v>
      </c>
      <c r="R41" s="265">
        <f t="shared" si="5"/>
        <v>100</v>
      </c>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row>
    <row r="42" spans="1:41" ht="15.75" customHeight="1">
      <c r="A42" s="231" t="s">
        <v>667</v>
      </c>
      <c r="B42" s="260">
        <f>('Pivot Table for Data Exchange'!$C$43)*100</f>
        <v>88.51174155744576</v>
      </c>
      <c r="C42" s="260">
        <f>('Pivot Table for Data Exchange'!$C$46)*100</f>
        <v>1.3621161356536995</v>
      </c>
      <c r="D42" s="261">
        <f t="shared" ref="D42:D44" si="6">SUM(E42:G42)</f>
        <v>9.7309779608982723</v>
      </c>
      <c r="E42" s="260">
        <f>('Pivot Table for Data Exchange'!$C$49)*100</f>
        <v>9.6534070058506405</v>
      </c>
      <c r="F42" s="260">
        <f>('Pivot Table for Data Exchange'!$C$52)*100</f>
        <v>7.7570955047631548E-2</v>
      </c>
      <c r="G42" s="271">
        <f>('Pivot Table for Data Exchange'!$C$55)*100</f>
        <v>0</v>
      </c>
      <c r="H42" s="260">
        <f>('Pivot Table for Data Exchange'!$C$58)*100</f>
        <v>0.39516434600226147</v>
      </c>
      <c r="I42" s="266" t="s">
        <v>667</v>
      </c>
      <c r="J42" s="260">
        <f>('Pivot Table for Data Exchange'!$C$61)*100</f>
        <v>66.558841247806384</v>
      </c>
      <c r="K42" s="260">
        <f>('Pivot Table for Data Exchange'!$C$64)*100</f>
        <v>0.74517404856072711</v>
      </c>
      <c r="L42" s="261">
        <f t="shared" ref="L42:L44" si="7">SUM(M42:O42)</f>
        <v>32.695984703632888</v>
      </c>
      <c r="M42" s="260">
        <f>('Pivot Table for Data Exchange'!$C$67)*100</f>
        <v>32.64883836664135</v>
      </c>
      <c r="N42" s="269">
        <f>('Pivot Table for Data Exchange'!$C$70)*100</f>
        <v>4.7146336991539854E-2</v>
      </c>
      <c r="O42" s="267">
        <f>('Pivot Table for Data Exchange'!$C$73)*100</f>
        <v>0</v>
      </c>
      <c r="P42" s="272">
        <f>('Pivot Table for Data Exchange'!$C$76)*100</f>
        <v>0</v>
      </c>
      <c r="Q42" s="265">
        <f t="shared" si="4"/>
        <v>99.999999999999986</v>
      </c>
      <c r="R42" s="265">
        <f t="shared" si="5"/>
        <v>100</v>
      </c>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row>
    <row r="43" spans="1:41" ht="15.75" customHeight="1">
      <c r="A43" s="231" t="s">
        <v>668</v>
      </c>
      <c r="B43" s="260">
        <f>('Pivot Table for Data Exchange'!$C$79)*100</f>
        <v>95.831240582621803</v>
      </c>
      <c r="C43" s="260">
        <f>('Pivot Table for Data Exchange'!$C$82)*100</f>
        <v>0</v>
      </c>
      <c r="D43" s="261">
        <f t="shared" si="6"/>
        <v>4.1687594173782019</v>
      </c>
      <c r="E43" s="260">
        <f>('Pivot Table for Data Exchange'!$C$85)*100</f>
        <v>4.1687594173782019</v>
      </c>
      <c r="F43" s="260">
        <f>('Pivot Table for Data Exchange'!$C$88)*100</f>
        <v>0</v>
      </c>
      <c r="G43" s="268">
        <f>('Pivot Table for Data Exchange'!$C$91)*100</f>
        <v>0</v>
      </c>
      <c r="H43" s="260">
        <f>('Pivot Table for Data Exchange'!$C$94)*100</f>
        <v>0</v>
      </c>
      <c r="I43" s="266" t="s">
        <v>668</v>
      </c>
      <c r="J43" s="260">
        <f>('Pivot Table for Data Exchange'!$C$97)*100</f>
        <v>85.115691489361694</v>
      </c>
      <c r="K43" s="260">
        <f>('Pivot Table for Data Exchange'!$C$100)*100</f>
        <v>0</v>
      </c>
      <c r="L43" s="261">
        <f t="shared" si="7"/>
        <v>14.884308510638297</v>
      </c>
      <c r="M43" s="260">
        <f>('Pivot Table for Data Exchange'!$C$103)*100</f>
        <v>14.884308510638297</v>
      </c>
      <c r="N43" s="260">
        <f>('Pivot Table for Data Exchange'!$C$106)*100</f>
        <v>0</v>
      </c>
      <c r="O43" s="268">
        <f>('Pivot Table for Data Exchange'!$C$109)*100</f>
        <v>0</v>
      </c>
      <c r="P43" s="260">
        <f>('Pivot Table for Data Exchange'!$C$112)*100</f>
        <v>0</v>
      </c>
      <c r="Q43" s="265">
        <f t="shared" si="4"/>
        <v>100</v>
      </c>
      <c r="R43" s="265">
        <f t="shared" si="5"/>
        <v>99.999999999999986</v>
      </c>
      <c r="S43" s="314"/>
      <c r="T43" s="318"/>
      <c r="U43" s="314"/>
      <c r="V43" s="314"/>
      <c r="W43" s="314"/>
      <c r="X43" s="314"/>
      <c r="Y43" s="314"/>
      <c r="Z43" s="314"/>
      <c r="AA43" s="314"/>
      <c r="AB43" s="314"/>
      <c r="AC43" s="314"/>
      <c r="AD43" s="314"/>
      <c r="AE43" s="314"/>
      <c r="AF43" s="314"/>
      <c r="AG43" s="314"/>
      <c r="AH43" s="314"/>
      <c r="AI43" s="314"/>
      <c r="AJ43" s="314"/>
      <c r="AK43" s="314"/>
      <c r="AL43" s="314"/>
      <c r="AM43" s="314"/>
      <c r="AN43" s="314"/>
      <c r="AO43" s="314"/>
    </row>
    <row r="44" spans="1:41" ht="15.75" customHeight="1">
      <c r="A44" s="231" t="s">
        <v>705</v>
      </c>
      <c r="B44" s="260">
        <f>('Pivot Table for Data Exchange'!$C$115)*100</f>
        <v>0</v>
      </c>
      <c r="C44" s="260">
        <f>('Pivot Table for Data Exchange'!$C$118)*100</f>
        <v>0</v>
      </c>
      <c r="D44" s="261">
        <f t="shared" si="6"/>
        <v>0</v>
      </c>
      <c r="E44" s="260">
        <f>('Pivot Table for Data Exchange'!$C$121)*100</f>
        <v>0</v>
      </c>
      <c r="F44" s="260">
        <f>('Pivot Table for Data Exchange'!$C$124)*100</f>
        <v>0</v>
      </c>
      <c r="G44" s="268">
        <f>('Pivot Table for Data Exchange'!$C$127)*100</f>
        <v>0</v>
      </c>
      <c r="H44" s="260">
        <f>('Pivot Table for Data Exchange'!$C$130)*100</f>
        <v>0</v>
      </c>
      <c r="I44" s="266" t="s">
        <v>705</v>
      </c>
      <c r="J44" s="260">
        <f>('Pivot Table for Data Exchange'!$C$133)*100</f>
        <v>0</v>
      </c>
      <c r="K44" s="260">
        <f>('Pivot Table for Data Exchange'!$C$136)*100</f>
        <v>0</v>
      </c>
      <c r="L44" s="261">
        <f t="shared" si="7"/>
        <v>0</v>
      </c>
      <c r="M44" s="260">
        <f>('Pivot Table for Data Exchange'!$C$139)*100</f>
        <v>0</v>
      </c>
      <c r="N44" s="260">
        <f>('Pivot Table for Data Exchange'!$C$142)*100</f>
        <v>0</v>
      </c>
      <c r="O44" s="267">
        <f>('Pivot Table for Data Exchange'!$C$145)*100</f>
        <v>0</v>
      </c>
      <c r="P44" s="260">
        <f>('Pivot Table for Data Exchange'!$C$148)*100</f>
        <v>0</v>
      </c>
      <c r="Q44" s="265">
        <f t="shared" si="4"/>
        <v>0</v>
      </c>
      <c r="R44" s="265">
        <f t="shared" si="5"/>
        <v>0</v>
      </c>
      <c r="S44" s="314"/>
      <c r="U44" s="314"/>
      <c r="V44" s="314"/>
      <c r="W44" s="314"/>
      <c r="X44" s="314"/>
      <c r="Y44" s="314"/>
      <c r="Z44" s="314"/>
      <c r="AA44" s="314"/>
      <c r="AB44" s="314"/>
      <c r="AC44" s="314"/>
      <c r="AD44" s="314"/>
      <c r="AE44" s="314"/>
      <c r="AF44" s="314"/>
      <c r="AG44" s="314"/>
      <c r="AH44" s="314"/>
      <c r="AI44" s="314"/>
      <c r="AJ44" s="314"/>
      <c r="AK44" s="314"/>
      <c r="AL44" s="314"/>
      <c r="AM44" s="314"/>
      <c r="AN44" s="314"/>
      <c r="AO44" s="314"/>
    </row>
    <row r="45" spans="1:41" ht="10.5" customHeight="1">
      <c r="B45" s="260"/>
      <c r="C45" s="260"/>
      <c r="D45" s="261"/>
      <c r="E45" s="260"/>
      <c r="F45" s="260"/>
      <c r="G45" s="268"/>
      <c r="H45" s="260"/>
      <c r="I45" s="266"/>
      <c r="J45" s="260"/>
      <c r="K45" s="260"/>
      <c r="L45" s="261"/>
      <c r="M45" s="260"/>
      <c r="N45" s="260"/>
      <c r="O45" s="268"/>
      <c r="P45" s="260"/>
      <c r="Q45" s="265">
        <f t="shared" si="4"/>
        <v>0</v>
      </c>
      <c r="R45" s="265">
        <f t="shared" si="5"/>
        <v>0</v>
      </c>
      <c r="S45" s="314"/>
      <c r="U45" s="314"/>
      <c r="V45" s="314"/>
      <c r="W45" s="314"/>
      <c r="X45" s="314"/>
      <c r="Y45" s="314"/>
      <c r="Z45" s="314"/>
      <c r="AA45" s="314"/>
      <c r="AB45" s="314"/>
      <c r="AC45" s="314"/>
      <c r="AD45" s="314"/>
      <c r="AE45" s="314"/>
      <c r="AF45" s="314"/>
      <c r="AG45" s="314"/>
      <c r="AH45" s="314"/>
      <c r="AI45" s="314"/>
      <c r="AJ45" s="314"/>
      <c r="AK45" s="314"/>
      <c r="AL45" s="314"/>
      <c r="AM45" s="314"/>
      <c r="AN45" s="314"/>
      <c r="AO45" s="314"/>
    </row>
    <row r="46" spans="1:41" ht="15.75" customHeight="1">
      <c r="A46" s="231" t="s">
        <v>670</v>
      </c>
      <c r="B46" s="260">
        <f>('Pivot Table for Data Exchange'!$C$151)*100</f>
        <v>83.881609911783613</v>
      </c>
      <c r="C46" s="260">
        <f>('Pivot Table for Data Exchange'!$C$154)*100</f>
        <v>1.8553877587014962</v>
      </c>
      <c r="D46" s="261">
        <f t="shared" ref="D46:D47" si="8">SUM(E46:G46)</f>
        <v>14.263002329514885</v>
      </c>
      <c r="E46" s="260">
        <f>('Pivot Table for Data Exchange'!$C$157)*100</f>
        <v>14.263002329514885</v>
      </c>
      <c r="F46" s="260">
        <f>('Pivot Table for Data Exchange'!$C$160)*100</f>
        <v>0</v>
      </c>
      <c r="G46" s="268">
        <f>('Pivot Table for Data Exchange'!$C$163)*100</f>
        <v>0</v>
      </c>
      <c r="H46" s="260">
        <f>('Pivot Table for Data Exchange'!$C$166)*100</f>
        <v>0</v>
      </c>
      <c r="I46" s="266" t="s">
        <v>670</v>
      </c>
      <c r="J46" s="260">
        <f>('Pivot Table for Data Exchange'!$C$169)*100</f>
        <v>68.063939217201778</v>
      </c>
      <c r="K46" s="260">
        <f>('Pivot Table for Data Exchange'!$C$172)*100</f>
        <v>25.005709846541453</v>
      </c>
      <c r="L46" s="261">
        <f t="shared" ref="L46:L47" si="9">SUM(M46:O46)</f>
        <v>6.930350936256775</v>
      </c>
      <c r="M46" s="260">
        <f>('Pivot Table for Data Exchange'!$C$175)*100</f>
        <v>6.930350936256775</v>
      </c>
      <c r="N46" s="260">
        <f>('Pivot Table for Data Exchange'!$C$178)*100</f>
        <v>0</v>
      </c>
      <c r="O46" s="268">
        <f>('Pivot Table for Data Exchange'!$C$181)*100</f>
        <v>0</v>
      </c>
      <c r="P46" s="260">
        <f>('Pivot Table for Data Exchange'!$C$184)*100</f>
        <v>0</v>
      </c>
      <c r="Q46" s="265">
        <f t="shared" si="4"/>
        <v>100</v>
      </c>
      <c r="R46" s="265">
        <f t="shared" si="5"/>
        <v>100</v>
      </c>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row>
    <row r="47" spans="1:41" ht="15.75" customHeight="1">
      <c r="A47" s="231" t="s">
        <v>671</v>
      </c>
      <c r="B47" s="260">
        <f>('Pivot Table for Data Exchange'!$C$187)*100</f>
        <v>86.115518791996294</v>
      </c>
      <c r="C47" s="260">
        <f>('Pivot Table for Data Exchange'!$C$190)*100</f>
        <v>2.0379716138986113</v>
      </c>
      <c r="D47" s="261">
        <f t="shared" si="8"/>
        <v>11.8465095941051</v>
      </c>
      <c r="E47" s="260">
        <f>('Pivot Table for Data Exchange'!$C$193)*100</f>
        <v>11.695757360508834</v>
      </c>
      <c r="F47" s="260">
        <f>('Pivot Table for Data Exchange'!$C$196)*100</f>
        <v>2.8928389347478649E-2</v>
      </c>
      <c r="G47" s="268">
        <f>('Pivot Table for Data Exchange'!$C$199)*100</f>
        <v>0.12182384424878796</v>
      </c>
      <c r="H47" s="260">
        <f>('Pivot Table for Data Exchange'!$C$202)*100</f>
        <v>0</v>
      </c>
      <c r="I47" s="266" t="s">
        <v>671</v>
      </c>
      <c r="J47" s="260">
        <f>('Pivot Table for Data Exchange'!$C$205)*100</f>
        <v>68.727211031249041</v>
      </c>
      <c r="K47" s="260">
        <f>('Pivot Table for Data Exchange'!$C$208)*100</f>
        <v>3.968905204059598</v>
      </c>
      <c r="L47" s="261">
        <f t="shared" si="9"/>
        <v>27.303883764691363</v>
      </c>
      <c r="M47" s="260">
        <f>('Pivot Table for Data Exchange'!$C$211)*100</f>
        <v>26.891754326433659</v>
      </c>
      <c r="N47" s="260">
        <f>('Pivot Table for Data Exchange'!$C$214)*100</f>
        <v>0.41212943825770432</v>
      </c>
      <c r="O47" s="268">
        <f>('Pivot Table for Data Exchange'!$C$217)*100</f>
        <v>0</v>
      </c>
      <c r="P47" s="260">
        <f>('Pivot Table for Data Exchange'!$C$220)*100</f>
        <v>0</v>
      </c>
      <c r="Q47" s="265">
        <f t="shared" si="4"/>
        <v>100</v>
      </c>
      <c r="R47" s="265">
        <f t="shared" si="5"/>
        <v>100</v>
      </c>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row>
    <row r="48" spans="1:41" ht="15.75" customHeight="1">
      <c r="A48" s="231" t="s">
        <v>672</v>
      </c>
      <c r="B48" s="260">
        <f>('Pivot Table for Data Exchange'!$C$223)*100</f>
        <v>95.404364569961473</v>
      </c>
      <c r="C48" s="260">
        <f>('Pivot Table for Data Exchange'!$C$226)*100</f>
        <v>0</v>
      </c>
      <c r="D48" s="261">
        <f>SUM(E48:G48)</f>
        <v>4.5956354300385174</v>
      </c>
      <c r="E48" s="260">
        <f>('Pivot Table for Data Exchange'!$C$229)*100</f>
        <v>4.5956354300385174</v>
      </c>
      <c r="F48" s="260">
        <f>('Pivot Table for Data Exchange'!$C$232)*100</f>
        <v>0</v>
      </c>
      <c r="G48" s="268">
        <f>('Pivot Table for Data Exchange'!$C$235)*100</f>
        <v>0</v>
      </c>
      <c r="H48" s="260">
        <f>('Pivot Table for Data Exchange'!$C$238)*100</f>
        <v>0</v>
      </c>
      <c r="I48" s="266" t="s">
        <v>672</v>
      </c>
      <c r="J48" s="260">
        <f>('Pivot Table for Data Exchange'!$C$241)*100</f>
        <v>92.662514597119554</v>
      </c>
      <c r="K48" s="260">
        <f>('Pivot Table for Data Exchange'!$C$244)*100</f>
        <v>0</v>
      </c>
      <c r="L48" s="261">
        <f>SUM(M48:O48)</f>
        <v>7.337485402880449</v>
      </c>
      <c r="M48" s="260">
        <f>('Pivot Table for Data Exchange'!$C$247)*100</f>
        <v>7.337485402880449</v>
      </c>
      <c r="N48" s="260">
        <f>('Pivot Table for Data Exchange'!$C$250)*100</f>
        <v>0</v>
      </c>
      <c r="O48" s="268">
        <f>('Pivot Table for Data Exchange'!$C$253)*100</f>
        <v>0</v>
      </c>
      <c r="P48" s="260">
        <f>('Pivot Table for Data Exchange'!$C$256)*100</f>
        <v>0</v>
      </c>
      <c r="Q48" s="265">
        <f t="shared" si="4"/>
        <v>99.999999999999986</v>
      </c>
      <c r="R48" s="265">
        <f t="shared" si="5"/>
        <v>100</v>
      </c>
      <c r="S48" s="314"/>
      <c r="T48" s="318"/>
      <c r="U48" s="314"/>
      <c r="V48" s="314"/>
      <c r="W48" s="314"/>
      <c r="X48" s="314"/>
      <c r="Y48" s="314"/>
      <c r="Z48" s="314"/>
      <c r="AA48" s="314"/>
      <c r="AB48" s="314"/>
      <c r="AC48" s="314"/>
      <c r="AD48" s="314"/>
      <c r="AE48" s="314"/>
      <c r="AF48" s="314"/>
      <c r="AG48" s="314"/>
      <c r="AH48" s="314"/>
      <c r="AI48" s="314"/>
      <c r="AJ48" s="314"/>
      <c r="AK48" s="314"/>
      <c r="AL48" s="314"/>
      <c r="AM48" s="314"/>
      <c r="AN48" s="314"/>
      <c r="AO48" s="314"/>
    </row>
    <row r="49" spans="1:41" ht="15.75" customHeight="1">
      <c r="A49" s="231" t="s">
        <v>673</v>
      </c>
      <c r="B49" s="260">
        <f>('Pivot Table for Data Exchange'!$C$259)*100</f>
        <v>92.61803461048865</v>
      </c>
      <c r="C49" s="260">
        <f>('Pivot Table for Data Exchange'!$C$262)*100</f>
        <v>1.8399293569880391</v>
      </c>
      <c r="D49" s="261">
        <f>SUM(E49:G49)</f>
        <v>5.5420360325233089</v>
      </c>
      <c r="E49" s="260">
        <f>('Pivot Table for Data Exchange'!$C$265)*100</f>
        <v>5.4484569777176342</v>
      </c>
      <c r="F49" s="260">
        <f>('Pivot Table for Data Exchange'!$C$268)*100</f>
        <v>9.3579054805674383E-2</v>
      </c>
      <c r="G49" s="268">
        <f>('Pivot Table for Data Exchange'!$C$271)*100</f>
        <v>0</v>
      </c>
      <c r="H49" s="260">
        <f>('Pivot Table for Data Exchange'!$C$274)*100</f>
        <v>0</v>
      </c>
      <c r="I49" s="266" t="s">
        <v>673</v>
      </c>
      <c r="J49" s="260">
        <f>('Pivot Table for Data Exchange'!$C$277)*100</f>
        <v>75.367177418831915</v>
      </c>
      <c r="K49" s="260">
        <f>('Pivot Table for Data Exchange'!$C$280)*100</f>
        <v>11.651763424265807</v>
      </c>
      <c r="L49" s="261">
        <f>SUM(M49:O49)</f>
        <v>12.981059156902289</v>
      </c>
      <c r="M49" s="260">
        <f>('Pivot Table for Data Exchange'!$C$283)*100</f>
        <v>12.757348411653711</v>
      </c>
      <c r="N49" s="260">
        <f>('Pivot Table for Data Exchange'!$C$286)*100</f>
        <v>0.22371074524857831</v>
      </c>
      <c r="O49" s="268">
        <f>('Pivot Table for Data Exchange'!$C$289)*100</f>
        <v>0</v>
      </c>
      <c r="P49" s="260">
        <f>('Pivot Table for Data Exchange'!$C$292)*100</f>
        <v>0</v>
      </c>
      <c r="Q49" s="265">
        <f t="shared" si="4"/>
        <v>100</v>
      </c>
      <c r="R49" s="265">
        <f t="shared" si="5"/>
        <v>100.00000000000001</v>
      </c>
      <c r="S49" s="314"/>
      <c r="U49" s="314"/>
      <c r="V49" s="314"/>
      <c r="W49" s="314"/>
      <c r="X49" s="314"/>
      <c r="Y49" s="314"/>
      <c r="Z49" s="314"/>
      <c r="AA49" s="314"/>
      <c r="AB49" s="314"/>
      <c r="AC49" s="314"/>
      <c r="AD49" s="314"/>
      <c r="AE49" s="314"/>
      <c r="AF49" s="314"/>
      <c r="AG49" s="314"/>
      <c r="AH49" s="314"/>
      <c r="AI49" s="314"/>
      <c r="AJ49" s="314"/>
      <c r="AK49" s="314"/>
      <c r="AL49" s="314"/>
      <c r="AM49" s="314"/>
      <c r="AN49" s="314"/>
      <c r="AO49" s="314"/>
    </row>
    <row r="50" spans="1:41" ht="12" customHeight="1">
      <c r="B50" s="260"/>
      <c r="C50" s="260"/>
      <c r="D50" s="261"/>
      <c r="E50" s="260"/>
      <c r="F50" s="260"/>
      <c r="G50" s="268"/>
      <c r="H50" s="260"/>
      <c r="I50" s="266"/>
      <c r="J50" s="260"/>
      <c r="K50" s="260"/>
      <c r="L50" s="261"/>
      <c r="M50" s="260"/>
      <c r="N50" s="260"/>
      <c r="O50" s="268"/>
      <c r="P50" s="260"/>
      <c r="Q50" s="265">
        <f t="shared" si="4"/>
        <v>0</v>
      </c>
      <c r="R50" s="265">
        <f t="shared" si="5"/>
        <v>0</v>
      </c>
      <c r="S50" s="314"/>
      <c r="U50" s="314"/>
      <c r="V50" s="314"/>
      <c r="W50" s="314"/>
      <c r="X50" s="314"/>
      <c r="Y50" s="314"/>
      <c r="Z50" s="314"/>
      <c r="AA50" s="314"/>
      <c r="AB50" s="314"/>
      <c r="AC50" s="314"/>
      <c r="AD50" s="314"/>
      <c r="AE50" s="314"/>
      <c r="AF50" s="314"/>
      <c r="AG50" s="314"/>
      <c r="AH50" s="314"/>
      <c r="AI50" s="314"/>
      <c r="AJ50" s="314"/>
      <c r="AK50" s="314"/>
      <c r="AL50" s="314"/>
      <c r="AM50" s="314"/>
      <c r="AN50" s="314"/>
      <c r="AO50" s="314"/>
    </row>
    <row r="51" spans="1:41" ht="15.75" customHeight="1">
      <c r="A51" s="231" t="s">
        <v>674</v>
      </c>
      <c r="B51" s="260">
        <f>('Pivot Table for Data Exchange'!$C$295)*100</f>
        <v>78.334735191389257</v>
      </c>
      <c r="C51" s="260">
        <f>('Pivot Table for Data Exchange'!$C$298)*100</f>
        <v>4.3417207213628917</v>
      </c>
      <c r="D51" s="261">
        <f>SUM(E51:G51)</f>
        <v>16.950602323757931</v>
      </c>
      <c r="E51" s="260">
        <f>('Pivot Table for Data Exchange'!$C$301)*100</f>
        <v>16.056597048969991</v>
      </c>
      <c r="F51" s="260">
        <f>('Pivot Table for Data Exchange'!$C$304)*100</f>
        <v>0.89400527478793923</v>
      </c>
      <c r="G51" s="271">
        <f>('Pivot Table for Data Exchange'!$C$307)*100</f>
        <v>0</v>
      </c>
      <c r="H51" s="260">
        <f>('Pivot Table for Data Exchange'!$C$310)*100</f>
        <v>0.37294176348991376</v>
      </c>
      <c r="I51" s="266" t="s">
        <v>674</v>
      </c>
      <c r="J51" s="260">
        <f>('Pivot Table for Data Exchange'!$C$313)*100</f>
        <v>71.950844675903099</v>
      </c>
      <c r="K51" s="260">
        <f>('Pivot Table for Data Exchange'!$C$316)*100</f>
        <v>3.6634518914592915</v>
      </c>
      <c r="L51" s="261">
        <f>SUM(M51:O51)</f>
        <v>24.336988859441057</v>
      </c>
      <c r="M51" s="260">
        <f>('Pivot Table for Data Exchange'!$C$319)*100</f>
        <v>23.525079306165292</v>
      </c>
      <c r="N51" s="260">
        <f>('Pivot Table for Data Exchange'!$C$322)*100</f>
        <v>0.81190955327576497</v>
      </c>
      <c r="O51" s="268">
        <f>('Pivot Table for Data Exchange'!$C$325)*100</f>
        <v>0</v>
      </c>
      <c r="P51" s="272">
        <f>('Pivot Table for Data Exchange'!$C$328)*100</f>
        <v>4.8714573196545902E-2</v>
      </c>
      <c r="Q51" s="265">
        <f t="shared" si="4"/>
        <v>100</v>
      </c>
      <c r="R51" s="265">
        <f t="shared" si="5"/>
        <v>100</v>
      </c>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row>
    <row r="52" spans="1:41" ht="15.75" customHeight="1">
      <c r="A52" s="231" t="s">
        <v>675</v>
      </c>
      <c r="B52" s="260">
        <f>('Pivot Table for Data Exchange'!$C$331)*100</f>
        <v>84.154744216455484</v>
      </c>
      <c r="C52" s="260">
        <f>('Pivot Table for Data Exchange'!$C$334)*100</f>
        <v>0.86306037101195643</v>
      </c>
      <c r="D52" s="261">
        <f>SUM(E52:G52)</f>
        <v>14.982195412532562</v>
      </c>
      <c r="E52" s="260">
        <f>('Pivot Table for Data Exchange'!$C$337)*100</f>
        <v>14.976943565805435</v>
      </c>
      <c r="F52" s="272">
        <f>('Pivot Table for Data Exchange'!$C$340)*100</f>
        <v>5.2518467271276906E-3</v>
      </c>
      <c r="G52" s="267">
        <f>('Pivot Table for Data Exchange'!$C$343)*100</f>
        <v>0</v>
      </c>
      <c r="H52" s="260">
        <f>('Pivot Table for Data Exchange'!$C$346)*100</f>
        <v>0</v>
      </c>
      <c r="I52" s="266" t="s">
        <v>675</v>
      </c>
      <c r="J52" s="260">
        <f>('Pivot Table for Data Exchange'!$C$349)*100</f>
        <v>78.418634572085594</v>
      </c>
      <c r="K52" s="260">
        <f>('Pivot Table for Data Exchange'!$C$352)*100</f>
        <v>1.6076735109288962</v>
      </c>
      <c r="L52" s="261">
        <f>SUM(M52:O52)</f>
        <v>19.973691916985519</v>
      </c>
      <c r="M52" s="260">
        <f>('Pivot Table for Data Exchange'!$C$355)*100</f>
        <v>19.962938248016094</v>
      </c>
      <c r="N52" s="272">
        <f>('Pivot Table for Data Exchange'!$C$358)*100</f>
        <v>1.0753668969424054E-2</v>
      </c>
      <c r="O52" s="268">
        <f>('Pivot Table for Data Exchange'!$C$361)*100</f>
        <v>0</v>
      </c>
      <c r="P52" s="260">
        <f>('Pivot Table for Data Exchange'!$C$364)*100</f>
        <v>0</v>
      </c>
      <c r="Q52" s="265">
        <f t="shared" si="4"/>
        <v>100</v>
      </c>
      <c r="R52" s="265">
        <f t="shared" si="5"/>
        <v>100</v>
      </c>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row>
    <row r="53" spans="1:41" ht="15.75" customHeight="1">
      <c r="A53" s="231" t="s">
        <v>676</v>
      </c>
      <c r="B53" s="260">
        <f>('Pivot Table for Data Exchange'!$C$367)*100</f>
        <v>83.246764192601603</v>
      </c>
      <c r="C53" s="260">
        <f>('Pivot Table for Data Exchange'!$C$370)*100</f>
        <v>1.3738960575372168</v>
      </c>
      <c r="D53" s="261">
        <f>SUM(E53:G53)</f>
        <v>15.379339749861181</v>
      </c>
      <c r="E53" s="260">
        <f>('Pivot Table for Data Exchange'!$C$373)*100</f>
        <v>15.291751500568498</v>
      </c>
      <c r="F53" s="260">
        <f>('Pivot Table for Data Exchange'!$C$376)*100</f>
        <v>2.4541235886723602E-2</v>
      </c>
      <c r="G53" s="268">
        <f>('Pivot Table for Data Exchange'!$C$379)*100</f>
        <v>6.3047013405959959E-2</v>
      </c>
      <c r="H53" s="260">
        <f>('Pivot Table for Data Exchange'!$C$382)*100</f>
        <v>0</v>
      </c>
      <c r="I53" s="266" t="s">
        <v>676</v>
      </c>
      <c r="J53" s="260">
        <f>('Pivot Table for Data Exchange'!$C$385)*100</f>
        <v>72.673264865626251</v>
      </c>
      <c r="K53" s="260">
        <f>('Pivot Table for Data Exchange'!$C$388)*100</f>
        <v>6.0858649675406724</v>
      </c>
      <c r="L53" s="261">
        <f>SUM(M53:O53)</f>
        <v>21.240870166833069</v>
      </c>
      <c r="M53" s="260">
        <f>('Pivot Table for Data Exchange'!$C$391)*100</f>
        <v>20.378326200705114</v>
      </c>
      <c r="N53" s="260">
        <f>('Pivot Table for Data Exchange'!$C$394)*100</f>
        <v>0.14790019015738734</v>
      </c>
      <c r="O53" s="268">
        <f>('Pivot Table for Data Exchange'!$C$397)*100</f>
        <v>0.71464377597056905</v>
      </c>
      <c r="P53" s="260">
        <f>('Pivot Table for Data Exchange'!$C$400)*100</f>
        <v>0</v>
      </c>
      <c r="Q53" s="265">
        <f t="shared" si="4"/>
        <v>100</v>
      </c>
      <c r="R53" s="265">
        <f t="shared" si="5"/>
        <v>100</v>
      </c>
      <c r="S53" s="314"/>
      <c r="T53" s="318"/>
      <c r="U53" s="314"/>
      <c r="V53" s="314"/>
      <c r="W53" s="314"/>
      <c r="X53" s="314"/>
      <c r="Y53" s="314"/>
      <c r="Z53" s="314"/>
      <c r="AA53" s="314"/>
      <c r="AB53" s="314"/>
      <c r="AC53" s="314"/>
      <c r="AD53" s="314"/>
      <c r="AE53" s="314"/>
      <c r="AF53" s="314"/>
      <c r="AG53" s="314"/>
      <c r="AH53" s="314"/>
      <c r="AI53" s="314"/>
      <c r="AJ53" s="314"/>
      <c r="AK53" s="314"/>
      <c r="AL53" s="314"/>
      <c r="AM53" s="314"/>
      <c r="AN53" s="314"/>
      <c r="AO53" s="314"/>
    </row>
    <row r="54" spans="1:41" ht="15.75" customHeight="1">
      <c r="A54" s="231" t="s">
        <v>677</v>
      </c>
      <c r="B54" s="260">
        <f>('Pivot Table for Data Exchange'!$C$403)*100</f>
        <v>86.552854842942054</v>
      </c>
      <c r="C54" s="260">
        <f>('Pivot Table for Data Exchange'!$C$406)*100</f>
        <v>2.0268685368333936</v>
      </c>
      <c r="D54" s="261">
        <f>SUM(E54:G54)</f>
        <v>11.420276620224557</v>
      </c>
      <c r="E54" s="260">
        <f>('Pivot Table for Data Exchange'!$C$409)*100</f>
        <v>11.419858996212847</v>
      </c>
      <c r="F54" s="260">
        <f>('Pivot Table for Data Exchange'!$C$412)*100</f>
        <v>4.1762401171017733E-4</v>
      </c>
      <c r="G54" s="268">
        <f>('Pivot Table for Data Exchange'!$C$415)*100</f>
        <v>0</v>
      </c>
      <c r="H54" s="260">
        <f>('Pivot Table for Data Exchange'!$C$418)*100</f>
        <v>0</v>
      </c>
      <c r="I54" s="266" t="s">
        <v>677</v>
      </c>
      <c r="J54" s="260">
        <f>('Pivot Table for Data Exchange'!$C$421)*100</f>
        <v>64.954238956383776</v>
      </c>
      <c r="K54" s="260">
        <f>('Pivot Table for Data Exchange'!$C$424)*100</f>
        <v>10.926826401845133</v>
      </c>
      <c r="L54" s="261">
        <f>SUM(M54:O54)</f>
        <v>24.118934641771091</v>
      </c>
      <c r="M54" s="260">
        <f>('Pivot Table for Data Exchange'!$C$427)*100</f>
        <v>20.353381028631869</v>
      </c>
      <c r="N54" s="260">
        <f>('Pivot Table for Data Exchange'!$C$430)*100</f>
        <v>3.7655536131392218</v>
      </c>
      <c r="O54" s="268">
        <f>('Pivot Table for Data Exchange'!$C$433)*100</f>
        <v>0</v>
      </c>
      <c r="P54" s="260">
        <f>('Pivot Table for Data Exchange'!$C$436)*100</f>
        <v>0</v>
      </c>
      <c r="Q54" s="265">
        <f t="shared" si="4"/>
        <v>100</v>
      </c>
      <c r="R54" s="265">
        <f t="shared" si="5"/>
        <v>100</v>
      </c>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row>
    <row r="55" spans="1:41" ht="14.25" customHeight="1">
      <c r="B55" s="260"/>
      <c r="C55" s="260"/>
      <c r="D55" s="261"/>
      <c r="E55" s="260"/>
      <c r="F55" s="260"/>
      <c r="G55" s="268"/>
      <c r="H55" s="260"/>
      <c r="I55" s="266"/>
      <c r="J55" s="260"/>
      <c r="K55" s="260"/>
      <c r="L55" s="261"/>
      <c r="M55" s="260"/>
      <c r="N55" s="260"/>
      <c r="O55" s="268"/>
      <c r="P55" s="260"/>
      <c r="Q55" s="265">
        <f t="shared" si="4"/>
        <v>0</v>
      </c>
      <c r="R55" s="265">
        <f t="shared" si="5"/>
        <v>0</v>
      </c>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row>
    <row r="56" spans="1:41" ht="15.75" customHeight="1">
      <c r="A56" s="231" t="s">
        <v>678</v>
      </c>
      <c r="B56" s="260">
        <f>('Pivot Table for Data Exchange'!$C$439)*100</f>
        <v>80.951872819394936</v>
      </c>
      <c r="C56" s="260">
        <f>('Pivot Table for Data Exchange'!$C$442)*100</f>
        <v>1.8684367479234829</v>
      </c>
      <c r="D56" s="261">
        <f>SUM(E56:G56)</f>
        <v>16.528390977844765</v>
      </c>
      <c r="E56" s="260">
        <f>('Pivot Table for Data Exchange'!$C$445)*100</f>
        <v>13.02656074634573</v>
      </c>
      <c r="F56" s="287">
        <f>('Pivot Table for Data Exchange'!$C$448)*100</f>
        <v>9.7180433577173653E-3</v>
      </c>
      <c r="G56" s="268">
        <f>('Pivot Table for Data Exchange'!$C$451)*100</f>
        <v>3.4921121881413191</v>
      </c>
      <c r="H56" s="260">
        <f>('Pivot Table for Data Exchange'!$C$454)*100</f>
        <v>0.65129945483682261</v>
      </c>
      <c r="I56" s="266" t="s">
        <v>678</v>
      </c>
      <c r="J56" s="260">
        <f>('Pivot Table for Data Exchange'!$C$457)*100</f>
        <v>65.189184313776011</v>
      </c>
      <c r="K56" s="260">
        <f>('Pivot Table for Data Exchange'!$C$460)*100</f>
        <v>1.4263717714970461</v>
      </c>
      <c r="L56" s="261">
        <f>SUM(M56:O56)</f>
        <v>29.920950399113512</v>
      </c>
      <c r="M56" s="260">
        <f>('Pivot Table for Data Exchange'!$C$463)*100</f>
        <v>27.208009328754855</v>
      </c>
      <c r="N56" s="260">
        <f>('Pivot Table for Data Exchange'!$C$466)*100</f>
        <v>0.17201502393392562</v>
      </c>
      <c r="O56" s="268">
        <f>('Pivot Table for Data Exchange'!$C$469)*100</f>
        <v>2.5409260464247287</v>
      </c>
      <c r="P56" s="260">
        <f>('Pivot Table for Data Exchange'!$C$472)*100</f>
        <v>3.4634935156134237</v>
      </c>
      <c r="Q56" s="265">
        <f t="shared" si="4"/>
        <v>100</v>
      </c>
      <c r="R56" s="265">
        <f t="shared" si="5"/>
        <v>99.999999999999986</v>
      </c>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row>
    <row r="57" spans="1:41" ht="15.75" customHeight="1">
      <c r="A57" s="231" t="s">
        <v>679</v>
      </c>
      <c r="B57" s="260">
        <f>('Pivot Table for Data Exchange'!$C$475)*100</f>
        <v>0</v>
      </c>
      <c r="C57" s="260">
        <f>('Pivot Table for Data Exchange'!$C$478)*100</f>
        <v>0</v>
      </c>
      <c r="D57" s="261">
        <f>SUM(E57:G57)</f>
        <v>0</v>
      </c>
      <c r="E57" s="260">
        <f>('Pivot Table for Data Exchange'!$C$481)*100</f>
        <v>0</v>
      </c>
      <c r="F57" s="260">
        <f>('Pivot Table for Data Exchange'!$C$484)*100</f>
        <v>0</v>
      </c>
      <c r="G57" s="268">
        <f>('Pivot Table for Data Exchange'!$C$487)*100</f>
        <v>0</v>
      </c>
      <c r="H57" s="260">
        <f>('Pivot Table for Data Exchange'!$C$490)*100</f>
        <v>0</v>
      </c>
      <c r="I57" s="266" t="s">
        <v>679</v>
      </c>
      <c r="J57" s="260">
        <f>('Pivot Table for Data Exchange'!$C$493)*100</f>
        <v>0</v>
      </c>
      <c r="K57" s="260">
        <f>('Pivot Table for Data Exchange'!$C$496)*100</f>
        <v>0</v>
      </c>
      <c r="L57" s="261">
        <f>SUM(M57:O57)</f>
        <v>0</v>
      </c>
      <c r="M57" s="260">
        <f>('Pivot Table for Data Exchange'!$C$499)*100</f>
        <v>0</v>
      </c>
      <c r="N57" s="260">
        <f>('Pivot Table for Data Exchange'!$C$502)*100</f>
        <v>0</v>
      </c>
      <c r="O57" s="268">
        <f>('Pivot Table for Data Exchange'!$C$505)*100</f>
        <v>0</v>
      </c>
      <c r="P57" s="260">
        <f>('Pivot Table for Data Exchange'!$C$508)*100</f>
        <v>0</v>
      </c>
      <c r="Q57" s="265">
        <f t="shared" si="4"/>
        <v>0</v>
      </c>
      <c r="R57" s="265">
        <f t="shared" si="5"/>
        <v>0</v>
      </c>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row>
    <row r="58" spans="1:41" ht="15.75" customHeight="1">
      <c r="A58" s="231" t="s">
        <v>680</v>
      </c>
      <c r="B58" s="260">
        <f>('Pivot Table for Data Exchange'!$C$511)*100</f>
        <v>87.365708434188122</v>
      </c>
      <c r="C58" s="260">
        <f>('Pivot Table for Data Exchange'!$C$514)*100</f>
        <v>1.4017035198831509</v>
      </c>
      <c r="D58" s="261">
        <f>SUM(E58:G58)</f>
        <v>11.232588045928722</v>
      </c>
      <c r="E58" s="260">
        <f>('Pivot Table for Data Exchange'!$C$517)*100</f>
        <v>10.449828658800197</v>
      </c>
      <c r="F58" s="260">
        <f>('Pivot Table for Data Exchange'!$C$520)*100</f>
        <v>0.78123282618943524</v>
      </c>
      <c r="G58" s="268">
        <f>('Pivot Table for Data Exchange'!$C$523)*100</f>
        <v>1.52656093909144E-3</v>
      </c>
      <c r="H58" s="260">
        <f>('Pivot Table for Data Exchange'!$C$526)*100</f>
        <v>0</v>
      </c>
      <c r="I58" s="266" t="s">
        <v>680</v>
      </c>
      <c r="J58" s="260">
        <f>('Pivot Table for Data Exchange'!$C$529)*100</f>
        <v>76.509366211083787</v>
      </c>
      <c r="K58" s="260">
        <f>('Pivot Table for Data Exchange'!$C$532)*100</f>
        <v>6.6126948173305351</v>
      </c>
      <c r="L58" s="261">
        <f>SUM(M58:O58)</f>
        <v>16.877938971585685</v>
      </c>
      <c r="M58" s="260">
        <f>('Pivot Table for Data Exchange'!$C$535)*100</f>
        <v>13.016170555896982</v>
      </c>
      <c r="N58" s="260">
        <f>('Pivot Table for Data Exchange'!$C$538)*100</f>
        <v>3.6012420151668083</v>
      </c>
      <c r="O58" s="268">
        <f>('Pivot Table for Data Exchange'!$C$541)*100</f>
        <v>0.26052640052189274</v>
      </c>
      <c r="P58" s="260">
        <f>('Pivot Table for Data Exchange'!$C$544)*100</f>
        <v>0</v>
      </c>
      <c r="Q58" s="265">
        <f t="shared" si="4"/>
        <v>100</v>
      </c>
      <c r="R58" s="265">
        <f t="shared" si="5"/>
        <v>100</v>
      </c>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row>
    <row r="59" spans="1:41" ht="15.75" customHeight="1">
      <c r="A59" s="237" t="s">
        <v>681</v>
      </c>
      <c r="B59" s="273">
        <f>('Pivot Table for Data Exchange'!$C$547)*100</f>
        <v>85.922541554081718</v>
      </c>
      <c r="C59" s="273">
        <f>('Pivot Table for Data Exchange'!$C$550)*100</f>
        <v>0.88528617047408487</v>
      </c>
      <c r="D59" s="274">
        <f>SUM(E59:G59)</f>
        <v>13.192172275444198</v>
      </c>
      <c r="E59" s="273">
        <f>('Pivot Table for Data Exchange'!$C$553)*100</f>
        <v>12.823057397854745</v>
      </c>
      <c r="F59" s="288">
        <f>('Pivot Table for Data Exchange'!$C$556)*100</f>
        <v>0</v>
      </c>
      <c r="G59" s="275">
        <f>('Pivot Table for Data Exchange'!$C$559)*100</f>
        <v>0.36911487758945388</v>
      </c>
      <c r="H59" s="273">
        <f>('Pivot Table for Data Exchange'!$C$562)*100</f>
        <v>0</v>
      </c>
      <c r="I59" s="276" t="s">
        <v>681</v>
      </c>
      <c r="J59" s="273">
        <f>('Pivot Table for Data Exchange'!$C$565)*100</f>
        <v>68.003117221485567</v>
      </c>
      <c r="K59" s="273">
        <f>('Pivot Table for Data Exchange'!$C$568)*100</f>
        <v>2.3576895340451767</v>
      </c>
      <c r="L59" s="274">
        <f>SUM(M59:O59)</f>
        <v>29.639193244469254</v>
      </c>
      <c r="M59" s="273">
        <f>('Pivot Table for Data Exchange'!$C$571)*100</f>
        <v>29.04250122129946</v>
      </c>
      <c r="N59" s="273">
        <f>('Pivot Table for Data Exchange'!$C$574)*100</f>
        <v>5.5830832577290809E-2</v>
      </c>
      <c r="O59" s="275">
        <f>('Pivot Table for Data Exchange'!$C$577)*100</f>
        <v>0.5408611905925047</v>
      </c>
      <c r="P59" s="273">
        <f>('Pivot Table for Data Exchange'!$C$580)*100</f>
        <v>0</v>
      </c>
      <c r="Q59" s="265">
        <f t="shared" si="4"/>
        <v>100</v>
      </c>
      <c r="R59" s="265">
        <f t="shared" si="5"/>
        <v>100</v>
      </c>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row>
    <row r="60" spans="1:41" s="304" customFormat="1" ht="12" customHeight="1">
      <c r="A60" s="279" t="s">
        <v>706</v>
      </c>
      <c r="B60" s="280"/>
      <c r="C60" s="280"/>
      <c r="D60" s="281"/>
      <c r="E60" s="280"/>
      <c r="F60" s="281"/>
      <c r="G60" s="281"/>
      <c r="H60" s="280"/>
      <c r="I60" s="279" t="s">
        <v>706</v>
      </c>
      <c r="J60" s="280"/>
      <c r="K60" s="280"/>
      <c r="L60" s="281"/>
      <c r="M60" s="280"/>
      <c r="N60" s="281"/>
      <c r="O60" s="281"/>
      <c r="P60" s="280"/>
      <c r="Q60" s="265">
        <f t="shared" si="4"/>
        <v>0</v>
      </c>
      <c r="R60" s="265">
        <f t="shared" si="5"/>
        <v>0</v>
      </c>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row>
    <row r="61" spans="1:41" s="304" customFormat="1" ht="24" customHeight="1">
      <c r="A61" s="490" t="s">
        <v>707</v>
      </c>
      <c r="B61" s="490"/>
      <c r="C61" s="490"/>
      <c r="D61" s="490"/>
      <c r="E61" s="490"/>
      <c r="F61" s="490"/>
      <c r="G61" s="490"/>
      <c r="H61" s="490"/>
      <c r="I61" s="490" t="s">
        <v>707</v>
      </c>
      <c r="J61" s="490"/>
      <c r="K61" s="490"/>
      <c r="L61" s="490"/>
      <c r="M61" s="490"/>
      <c r="N61" s="490"/>
      <c r="O61" s="490"/>
      <c r="P61" s="490"/>
      <c r="Q61" s="265">
        <f t="shared" si="4"/>
        <v>0</v>
      </c>
      <c r="R61" s="265">
        <f t="shared" si="5"/>
        <v>0</v>
      </c>
    </row>
    <row r="62" spans="1:41" s="304" customFormat="1" ht="13.5" customHeight="1">
      <c r="A62" s="500"/>
      <c r="B62" s="500"/>
      <c r="C62" s="500"/>
      <c r="D62" s="500"/>
      <c r="E62" s="500"/>
      <c r="F62" s="500"/>
      <c r="G62" s="500"/>
      <c r="H62" s="500"/>
      <c r="I62" s="500"/>
      <c r="J62" s="500"/>
      <c r="K62" s="500"/>
      <c r="L62" s="500"/>
      <c r="M62" s="500"/>
      <c r="N62" s="500"/>
      <c r="O62" s="500"/>
      <c r="P62" s="500"/>
      <c r="Q62" s="265">
        <f t="shared" si="4"/>
        <v>0</v>
      </c>
      <c r="R62" s="265">
        <f t="shared" si="5"/>
        <v>0</v>
      </c>
    </row>
    <row r="63" spans="1:41" s="304" customFormat="1" ht="13.5" customHeight="1">
      <c r="A63" s="278"/>
      <c r="B63" s="278"/>
      <c r="C63" s="278"/>
      <c r="D63" s="278"/>
      <c r="E63" s="278"/>
      <c r="F63" s="278"/>
      <c r="G63" s="278"/>
      <c r="H63" s="284" t="s">
        <v>839</v>
      </c>
      <c r="I63" s="278"/>
      <c r="J63" s="278"/>
      <c r="K63" s="278"/>
      <c r="L63" s="278"/>
      <c r="M63" s="278"/>
      <c r="N63" s="278"/>
      <c r="O63" s="278"/>
      <c r="P63" s="284" t="s">
        <v>839</v>
      </c>
      <c r="Q63" s="265">
        <f t="shared" si="4"/>
        <v>0</v>
      </c>
      <c r="R63" s="265">
        <f t="shared" si="5"/>
        <v>0</v>
      </c>
    </row>
    <row r="64" spans="1:41" ht="18">
      <c r="A64" s="226" t="s">
        <v>708</v>
      </c>
      <c r="B64" s="227"/>
      <c r="C64" s="227"/>
      <c r="D64" s="227"/>
      <c r="E64" s="227"/>
      <c r="F64" s="227"/>
      <c r="G64" s="227"/>
      <c r="H64" s="227"/>
      <c r="I64" s="226" t="s">
        <v>709</v>
      </c>
      <c r="J64" s="228"/>
      <c r="K64" s="228"/>
      <c r="L64" s="227"/>
      <c r="M64" s="228"/>
      <c r="N64" s="228"/>
      <c r="O64" s="228"/>
      <c r="P64" s="228"/>
      <c r="Q64" s="265">
        <f t="shared" si="4"/>
        <v>0</v>
      </c>
      <c r="R64" s="265">
        <f t="shared" si="5"/>
        <v>0</v>
      </c>
    </row>
    <row r="65" spans="1:41" ht="13">
      <c r="A65" s="232"/>
      <c r="B65" s="228"/>
      <c r="C65" s="228"/>
      <c r="D65" s="228"/>
      <c r="E65" s="228"/>
      <c r="F65" s="228"/>
      <c r="G65" s="228"/>
      <c r="H65" s="228"/>
      <c r="I65" s="232"/>
      <c r="J65" s="228"/>
      <c r="K65" s="228"/>
      <c r="L65" s="228"/>
      <c r="M65" s="228"/>
      <c r="N65" s="228"/>
      <c r="O65" s="228"/>
      <c r="P65" s="228"/>
      <c r="Q65" s="265">
        <f t="shared" si="4"/>
        <v>0</v>
      </c>
      <c r="R65" s="265">
        <f t="shared" si="5"/>
        <v>0</v>
      </c>
    </row>
    <row r="66" spans="1:41" ht="15.5">
      <c r="A66" s="234" t="s">
        <v>687</v>
      </c>
      <c r="B66" s="228"/>
      <c r="C66" s="228"/>
      <c r="D66" s="228"/>
      <c r="E66" s="228"/>
      <c r="F66" s="228"/>
      <c r="G66" s="228"/>
      <c r="H66" s="228"/>
      <c r="I66" s="234" t="s">
        <v>688</v>
      </c>
      <c r="J66" s="228"/>
      <c r="K66" s="228"/>
      <c r="L66" s="228"/>
      <c r="M66" s="228"/>
      <c r="N66" s="228"/>
      <c r="O66" s="228"/>
      <c r="P66" s="228"/>
      <c r="Q66" s="265">
        <f t="shared" si="4"/>
        <v>0</v>
      </c>
      <c r="R66" s="265">
        <f t="shared" si="5"/>
        <v>0</v>
      </c>
    </row>
    <row r="67" spans="1:41" ht="15.5">
      <c r="A67" s="234" t="s">
        <v>826</v>
      </c>
      <c r="B67" s="228"/>
      <c r="C67" s="228"/>
      <c r="D67" s="228"/>
      <c r="E67" s="228"/>
      <c r="F67" s="228"/>
      <c r="G67" s="228"/>
      <c r="H67" s="228"/>
      <c r="I67" s="234" t="s">
        <v>826</v>
      </c>
      <c r="J67" s="228"/>
      <c r="K67" s="228"/>
      <c r="L67" s="228"/>
      <c r="M67" s="228"/>
      <c r="N67" s="228"/>
      <c r="O67" s="228"/>
      <c r="P67" s="228"/>
      <c r="Q67" s="265">
        <f t="shared" si="4"/>
        <v>0</v>
      </c>
      <c r="R67" s="265">
        <f t="shared" si="5"/>
        <v>0</v>
      </c>
    </row>
    <row r="68" spans="1:41">
      <c r="A68" s="237"/>
      <c r="B68" s="238"/>
      <c r="C68" s="238"/>
      <c r="D68" s="238"/>
      <c r="E68" s="238"/>
      <c r="F68" s="238"/>
      <c r="G68" s="238"/>
      <c r="H68" s="238"/>
      <c r="I68" s="239"/>
      <c r="L68" s="240"/>
      <c r="P68" s="237"/>
      <c r="Q68" s="265">
        <f t="shared" si="4"/>
        <v>0</v>
      </c>
      <c r="R68" s="265">
        <f t="shared" si="5"/>
        <v>0</v>
      </c>
    </row>
    <row r="69" spans="1:41" s="258" customFormat="1">
      <c r="A69" s="242"/>
      <c r="B69" s="243" t="s">
        <v>689</v>
      </c>
      <c r="C69" s="243"/>
      <c r="D69" s="243"/>
      <c r="E69" s="243"/>
      <c r="F69" s="243"/>
      <c r="G69" s="243"/>
      <c r="H69" s="244"/>
      <c r="I69" s="242"/>
      <c r="J69" s="243" t="s">
        <v>689</v>
      </c>
      <c r="K69" s="243"/>
      <c r="L69" s="243"/>
      <c r="M69" s="243"/>
      <c r="N69" s="243"/>
      <c r="O69" s="243"/>
      <c r="P69" s="244"/>
      <c r="Q69" s="265">
        <f t="shared" si="4"/>
        <v>0</v>
      </c>
      <c r="R69" s="265">
        <f t="shared" si="5"/>
        <v>0</v>
      </c>
    </row>
    <row r="70" spans="1:41" s="258" customFormat="1">
      <c r="A70" s="242"/>
      <c r="B70" s="243" t="s">
        <v>690</v>
      </c>
      <c r="C70" s="243"/>
      <c r="D70" s="485" t="s">
        <v>691</v>
      </c>
      <c r="E70" s="483"/>
      <c r="F70" s="483"/>
      <c r="G70" s="483"/>
      <c r="H70" s="250" t="s">
        <v>581</v>
      </c>
      <c r="I70" s="242"/>
      <c r="J70" s="243" t="s">
        <v>690</v>
      </c>
      <c r="K70" s="243"/>
      <c r="L70" s="485" t="s">
        <v>691</v>
      </c>
      <c r="M70" s="483"/>
      <c r="N70" s="483"/>
      <c r="O70" s="483"/>
      <c r="P70" s="250" t="s">
        <v>581</v>
      </c>
      <c r="Q70" s="265">
        <f t="shared" si="4"/>
        <v>0</v>
      </c>
      <c r="R70" s="265">
        <f t="shared" si="5"/>
        <v>0</v>
      </c>
    </row>
    <row r="71" spans="1:41" s="258" customFormat="1" ht="40.5" customHeight="1">
      <c r="A71" s="242"/>
      <c r="B71" s="251" t="s">
        <v>692</v>
      </c>
      <c r="C71" s="252" t="s">
        <v>693</v>
      </c>
      <c r="D71" s="253" t="s">
        <v>694</v>
      </c>
      <c r="E71" s="254" t="s">
        <v>8</v>
      </c>
      <c r="F71" s="251" t="s">
        <v>695</v>
      </c>
      <c r="G71" s="255" t="s">
        <v>704</v>
      </c>
      <c r="H71" s="256" t="s">
        <v>697</v>
      </c>
      <c r="I71" s="242"/>
      <c r="J71" s="251" t="s">
        <v>692</v>
      </c>
      <c r="K71" s="252" t="s">
        <v>693</v>
      </c>
      <c r="L71" s="253" t="s">
        <v>694</v>
      </c>
      <c r="M71" s="254" t="s">
        <v>8</v>
      </c>
      <c r="N71" s="251" t="s">
        <v>695</v>
      </c>
      <c r="O71" s="255" t="s">
        <v>704</v>
      </c>
      <c r="P71" s="256" t="s">
        <v>697</v>
      </c>
      <c r="Q71" s="265">
        <f t="shared" si="4"/>
        <v>0</v>
      </c>
      <c r="R71" s="265">
        <f t="shared" si="5"/>
        <v>0</v>
      </c>
      <c r="T71" s="257"/>
    </row>
    <row r="72" spans="1:41" ht="15.75" customHeight="1">
      <c r="A72" s="286" t="s">
        <v>666</v>
      </c>
      <c r="B72" s="313">
        <f>('Pivot Table for Data Exchange'!$D$7)*100</f>
        <v>85.296901893287441</v>
      </c>
      <c r="C72" s="272">
        <f>('Pivot Table for Data Exchange'!$D$10)*100</f>
        <v>9.3373493975903624E-2</v>
      </c>
      <c r="D72" s="261">
        <f>SUM(E72:G72)</f>
        <v>14.60972461273666</v>
      </c>
      <c r="E72" s="260">
        <f>('Pivot Table for Data Exchange'!$D$13)*100</f>
        <v>14.60972461273666</v>
      </c>
      <c r="F72" s="272">
        <f>('Pivot Table for Data Exchange'!$D$16)*100</f>
        <v>0</v>
      </c>
      <c r="G72" s="264">
        <f>('Pivot Table for Data Exchange'!$D$19)*100</f>
        <v>0</v>
      </c>
      <c r="H72" s="260">
        <f>('Pivot Table for Data Exchange'!$D$22)*100</f>
        <v>0</v>
      </c>
      <c r="I72" s="263" t="s">
        <v>666</v>
      </c>
      <c r="J72" s="260">
        <f>('Pivot Table for Data Exchange'!$D$25)*100</f>
        <v>67.262516970420037</v>
      </c>
      <c r="K72" s="260">
        <f>('Pivot Table for Data Exchange'!$D$28)*100</f>
        <v>0</v>
      </c>
      <c r="L72" s="261">
        <f>SUM(M72:O72)</f>
        <v>32.737483029579955</v>
      </c>
      <c r="M72" s="260">
        <f>('Pivot Table for Data Exchange'!$D$31)*100</f>
        <v>32.737483029579955</v>
      </c>
      <c r="N72" s="260">
        <f>('Pivot Table for Data Exchange'!$D$34)*100</f>
        <v>0</v>
      </c>
      <c r="O72" s="264">
        <f>('Pivot Table for Data Exchange'!$D$37)*100</f>
        <v>0</v>
      </c>
      <c r="P72" s="260">
        <f>('Pivot Table for Data Exchange'!$D$40)*100</f>
        <v>0</v>
      </c>
      <c r="Q72" s="265">
        <f t="shared" si="4"/>
        <v>100</v>
      </c>
      <c r="R72" s="265">
        <f t="shared" si="5"/>
        <v>100</v>
      </c>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row>
    <row r="73" spans="1:41" ht="15.75" customHeight="1">
      <c r="A73" s="231" t="s">
        <v>667</v>
      </c>
      <c r="B73" s="260">
        <f>('Pivot Table for Data Exchange'!$D$43)*100</f>
        <v>56.559656143471173</v>
      </c>
      <c r="C73" s="260">
        <f>('Pivot Table for Data Exchange'!$D$46)*100</f>
        <v>1.2947976878612717</v>
      </c>
      <c r="D73" s="261">
        <f t="shared" ref="D73:D75" si="10">SUM(E73:G73)</f>
        <v>42.145546168667558</v>
      </c>
      <c r="E73" s="260">
        <f>('Pivot Table for Data Exchange'!$D$49)*100</f>
        <v>42.145546168667558</v>
      </c>
      <c r="F73" s="260">
        <f>('Pivot Table for Data Exchange'!$D$52)*100</f>
        <v>0</v>
      </c>
      <c r="G73" s="268">
        <f>('Pivot Table for Data Exchange'!$D$55)*100</f>
        <v>0</v>
      </c>
      <c r="H73" s="260">
        <f>('Pivot Table for Data Exchange'!$D$58)*100</f>
        <v>0</v>
      </c>
      <c r="I73" s="266" t="s">
        <v>667</v>
      </c>
      <c r="J73" s="260">
        <f>('Pivot Table for Data Exchange'!$D$61)*100</f>
        <v>44.144709831670973</v>
      </c>
      <c r="K73" s="260">
        <f>('Pivot Table for Data Exchange'!$D$64)*100</f>
        <v>27.169319197237179</v>
      </c>
      <c r="L73" s="261">
        <f t="shared" ref="L73:L75" si="11">SUM(M73:O73)</f>
        <v>28.685970971091844</v>
      </c>
      <c r="M73" s="260">
        <f>('Pivot Table for Data Exchange'!$D$67)*100</f>
        <v>28.685970971091844</v>
      </c>
      <c r="N73" s="260">
        <f>('Pivot Table for Data Exchange'!$D$70)*100</f>
        <v>0</v>
      </c>
      <c r="O73" s="268">
        <f>('Pivot Table for Data Exchange'!$D$73)*100</f>
        <v>0</v>
      </c>
      <c r="P73" s="260">
        <f>('Pivot Table for Data Exchange'!$D$76)*100</f>
        <v>0</v>
      </c>
      <c r="Q73" s="265">
        <f t="shared" si="4"/>
        <v>100</v>
      </c>
      <c r="R73" s="265">
        <f t="shared" si="5"/>
        <v>100</v>
      </c>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row>
    <row r="74" spans="1:41" ht="15.75" customHeight="1">
      <c r="A74" s="231" t="s">
        <v>668</v>
      </c>
      <c r="B74" s="260">
        <f>('Pivot Table for Data Exchange'!$D$79)*100</f>
        <v>0</v>
      </c>
      <c r="C74" s="260">
        <f>('Pivot Table for Data Exchange'!$D$82)*100</f>
        <v>0</v>
      </c>
      <c r="D74" s="261">
        <f t="shared" si="10"/>
        <v>0</v>
      </c>
      <c r="E74" s="260">
        <f>('Pivot Table for Data Exchange'!$D$85)*100</f>
        <v>0</v>
      </c>
      <c r="F74" s="260">
        <f>('Pivot Table for Data Exchange'!$D$88)*100</f>
        <v>0</v>
      </c>
      <c r="G74" s="268">
        <f>('Pivot Table for Data Exchange'!$D$91)*100</f>
        <v>0</v>
      </c>
      <c r="H74" s="260">
        <f>('Pivot Table for Data Exchange'!$D$94)*100</f>
        <v>0</v>
      </c>
      <c r="I74" s="266" t="s">
        <v>668</v>
      </c>
      <c r="J74" s="260">
        <f>('Pivot Table for Data Exchange'!$D$97)*100</f>
        <v>0</v>
      </c>
      <c r="K74" s="260">
        <f>('Pivot Table for Data Exchange'!$D$100)*100</f>
        <v>0</v>
      </c>
      <c r="L74" s="261">
        <f t="shared" si="11"/>
        <v>0</v>
      </c>
      <c r="M74" s="260">
        <f>('Pivot Table for Data Exchange'!$D$103)*100</f>
        <v>0</v>
      </c>
      <c r="N74" s="260">
        <f>('Pivot Table for Data Exchange'!$D$106)*100</f>
        <v>0</v>
      </c>
      <c r="O74" s="268">
        <f>('Pivot Table for Data Exchange'!$D$109)*100</f>
        <v>0</v>
      </c>
      <c r="P74" s="260">
        <f>('Pivot Table for Data Exchange'!$D$112)*100</f>
        <v>0</v>
      </c>
      <c r="Q74" s="265">
        <f t="shared" si="4"/>
        <v>0</v>
      </c>
      <c r="R74" s="265">
        <f t="shared" si="5"/>
        <v>0</v>
      </c>
      <c r="S74" s="314"/>
      <c r="T74" s="318"/>
      <c r="U74" s="314"/>
      <c r="V74" s="314"/>
      <c r="W74" s="314"/>
      <c r="X74" s="314"/>
      <c r="Y74" s="314"/>
      <c r="Z74" s="314"/>
      <c r="AA74" s="314"/>
      <c r="AB74" s="314"/>
      <c r="AC74" s="314"/>
      <c r="AD74" s="314"/>
      <c r="AE74" s="314"/>
      <c r="AF74" s="314"/>
      <c r="AG74" s="314"/>
      <c r="AH74" s="314"/>
      <c r="AI74" s="314"/>
      <c r="AJ74" s="314"/>
      <c r="AK74" s="314"/>
      <c r="AL74" s="314"/>
      <c r="AM74" s="314"/>
      <c r="AN74" s="314"/>
      <c r="AO74" s="314"/>
    </row>
    <row r="75" spans="1:41" ht="15.75" customHeight="1">
      <c r="A75" s="231" t="s">
        <v>669</v>
      </c>
      <c r="B75" s="260">
        <f>('Pivot Table for Data Exchange'!$D$115)*100</f>
        <v>0</v>
      </c>
      <c r="C75" s="260">
        <f>('Pivot Table for Data Exchange'!$D$118)*100</f>
        <v>0</v>
      </c>
      <c r="D75" s="261">
        <f t="shared" si="10"/>
        <v>0</v>
      </c>
      <c r="E75" s="260">
        <f>('Pivot Table for Data Exchange'!$D$121)*100</f>
        <v>0</v>
      </c>
      <c r="F75" s="272">
        <f>('Pivot Table for Data Exchange'!$D$124)*100</f>
        <v>0</v>
      </c>
      <c r="G75" s="268">
        <f>('Pivot Table for Data Exchange'!$D$127)*100</f>
        <v>0</v>
      </c>
      <c r="H75" s="260">
        <f>('Pivot Table for Data Exchange'!$D$130)*100</f>
        <v>0</v>
      </c>
      <c r="I75" s="266" t="s">
        <v>669</v>
      </c>
      <c r="J75" s="260">
        <f>('Pivot Table for Data Exchange'!$D$133)*100</f>
        <v>0</v>
      </c>
      <c r="K75" s="260">
        <f>('Pivot Table for Data Exchange'!$D$136)*100</f>
        <v>0</v>
      </c>
      <c r="L75" s="261">
        <f t="shared" si="11"/>
        <v>0</v>
      </c>
      <c r="M75" s="260">
        <f>('Pivot Table for Data Exchange'!$D$139)*100</f>
        <v>0</v>
      </c>
      <c r="N75" s="260">
        <f>('Pivot Table for Data Exchange'!$D$142)*100</f>
        <v>0</v>
      </c>
      <c r="O75" s="268">
        <f>('Pivot Table for Data Exchange'!$D$145)*100</f>
        <v>0</v>
      </c>
      <c r="P75" s="260">
        <f>('Pivot Table for Data Exchange'!$D$148)*100</f>
        <v>0</v>
      </c>
      <c r="Q75" s="265">
        <f t="shared" si="4"/>
        <v>0</v>
      </c>
      <c r="R75" s="265">
        <f t="shared" si="5"/>
        <v>0</v>
      </c>
      <c r="S75" s="314"/>
      <c r="U75" s="314"/>
      <c r="V75" s="314"/>
      <c r="W75" s="314"/>
      <c r="X75" s="314"/>
      <c r="Y75" s="314"/>
      <c r="Z75" s="314"/>
      <c r="AA75" s="314"/>
      <c r="AB75" s="314"/>
      <c r="AC75" s="314"/>
      <c r="AD75" s="314"/>
      <c r="AE75" s="314"/>
      <c r="AF75" s="314"/>
      <c r="AG75" s="314"/>
      <c r="AH75" s="314"/>
      <c r="AI75" s="314"/>
      <c r="AJ75" s="314"/>
      <c r="AK75" s="314"/>
      <c r="AL75" s="314"/>
      <c r="AM75" s="314"/>
      <c r="AN75" s="314"/>
      <c r="AO75" s="314"/>
    </row>
    <row r="76" spans="1:41" ht="9" customHeight="1">
      <c r="B76" s="260"/>
      <c r="C76" s="260"/>
      <c r="D76" s="261"/>
      <c r="E76" s="260"/>
      <c r="F76" s="260"/>
      <c r="G76" s="268"/>
      <c r="H76" s="260"/>
      <c r="I76" s="266"/>
      <c r="J76" s="260"/>
      <c r="K76" s="260"/>
      <c r="L76" s="261"/>
      <c r="M76" s="260"/>
      <c r="N76" s="260"/>
      <c r="O76" s="268"/>
      <c r="P76" s="260"/>
      <c r="Q76" s="265">
        <f t="shared" si="4"/>
        <v>0</v>
      </c>
      <c r="R76" s="265">
        <f t="shared" si="5"/>
        <v>0</v>
      </c>
      <c r="S76" s="314"/>
      <c r="U76" s="314"/>
      <c r="V76" s="314"/>
      <c r="W76" s="314"/>
      <c r="X76" s="314"/>
      <c r="Y76" s="314"/>
      <c r="Z76" s="314"/>
      <c r="AA76" s="314"/>
      <c r="AB76" s="314"/>
      <c r="AC76" s="314"/>
      <c r="AD76" s="314"/>
      <c r="AE76" s="314"/>
      <c r="AF76" s="314"/>
      <c r="AG76" s="314"/>
      <c r="AH76" s="314"/>
      <c r="AI76" s="314"/>
      <c r="AJ76" s="314"/>
      <c r="AK76" s="314"/>
      <c r="AL76" s="314"/>
      <c r="AM76" s="314"/>
      <c r="AN76" s="314"/>
      <c r="AO76" s="314"/>
    </row>
    <row r="77" spans="1:41" ht="15.75" customHeight="1">
      <c r="A77" s="231" t="s">
        <v>670</v>
      </c>
      <c r="B77" s="260">
        <f>('Pivot Table for Data Exchange'!$D$151)*100</f>
        <v>94.081041326315031</v>
      </c>
      <c r="C77" s="260">
        <f>('Pivot Table for Data Exchange'!$D$154)*100</f>
        <v>3.490690421602046</v>
      </c>
      <c r="D77" s="261">
        <f t="shared" ref="D77:D78" si="12">SUM(E77:G77)</f>
        <v>2.4282682520829204</v>
      </c>
      <c r="E77" s="260">
        <f>('Pivot Table for Data Exchange'!$D$157)*100</f>
        <v>2.4282682520829204</v>
      </c>
      <c r="F77" s="260">
        <f>('Pivot Table for Data Exchange'!$D$160)*100</f>
        <v>0</v>
      </c>
      <c r="G77" s="268">
        <f>('Pivot Table for Data Exchange'!$D$163)*100</f>
        <v>0</v>
      </c>
      <c r="H77" s="260">
        <f>('Pivot Table for Data Exchange'!$D$166)*100</f>
        <v>0</v>
      </c>
      <c r="I77" s="266" t="s">
        <v>670</v>
      </c>
      <c r="J77" s="260">
        <f>('Pivot Table for Data Exchange'!$D$169)*100</f>
        <v>65.986664201508091</v>
      </c>
      <c r="K77" s="260">
        <f>('Pivot Table for Data Exchange'!$D$172)*100</f>
        <v>0.81563052416099258</v>
      </c>
      <c r="L77" s="261">
        <f t="shared" ref="L77:L78" si="13">SUM(M77:O77)</f>
        <v>33.197705274330914</v>
      </c>
      <c r="M77" s="260">
        <f>('Pivot Table for Data Exchange'!$D$175)*100</f>
        <v>33.197705274330914</v>
      </c>
      <c r="N77" s="260">
        <f>('Pivot Table for Data Exchange'!$D$178)*100</f>
        <v>0</v>
      </c>
      <c r="O77" s="268">
        <f>('Pivot Table for Data Exchange'!$D$181)*100</f>
        <v>0</v>
      </c>
      <c r="P77" s="260">
        <f>('Pivot Table for Data Exchange'!$D$184)*100</f>
        <v>0</v>
      </c>
      <c r="Q77" s="265">
        <f t="shared" si="4"/>
        <v>99.999999999999986</v>
      </c>
      <c r="R77" s="265">
        <f t="shared" si="5"/>
        <v>100</v>
      </c>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row>
    <row r="78" spans="1:41" ht="15.75" customHeight="1">
      <c r="A78" s="231" t="s">
        <v>671</v>
      </c>
      <c r="B78" s="260">
        <f>('Pivot Table for Data Exchange'!$D$187)*100</f>
        <v>0</v>
      </c>
      <c r="C78" s="260">
        <f>('Pivot Table for Data Exchange'!$D$190)*100</f>
        <v>0</v>
      </c>
      <c r="D78" s="261">
        <f t="shared" si="12"/>
        <v>0</v>
      </c>
      <c r="E78" s="260">
        <f>('Pivot Table for Data Exchange'!$D$193)*100</f>
        <v>0</v>
      </c>
      <c r="F78" s="260">
        <f>('Pivot Table for Data Exchange'!$D$196)*100</f>
        <v>0</v>
      </c>
      <c r="G78" s="268">
        <f>('Pivot Table for Data Exchange'!$D$199)*100</f>
        <v>0</v>
      </c>
      <c r="H78" s="260">
        <f>('Pivot Table for Data Exchange'!$D$202)*100</f>
        <v>0</v>
      </c>
      <c r="I78" s="266" t="s">
        <v>671</v>
      </c>
      <c r="J78" s="260">
        <f>('Pivot Table for Data Exchange'!$D$205)*100</f>
        <v>0</v>
      </c>
      <c r="K78" s="260">
        <f>('Pivot Table for Data Exchange'!$D$208)*100</f>
        <v>0</v>
      </c>
      <c r="L78" s="261">
        <f t="shared" si="13"/>
        <v>0</v>
      </c>
      <c r="M78" s="260">
        <f>('Pivot Table for Data Exchange'!$D$211)*100</f>
        <v>0</v>
      </c>
      <c r="N78" s="260">
        <f>('Pivot Table for Data Exchange'!$D$214)*100</f>
        <v>0</v>
      </c>
      <c r="O78" s="268">
        <f>('Pivot Table for Data Exchange'!$D$217)*100</f>
        <v>0</v>
      </c>
      <c r="P78" s="260">
        <f>('Pivot Table for Data Exchange'!$D$220)*100</f>
        <v>0</v>
      </c>
      <c r="Q78" s="265">
        <f t="shared" si="4"/>
        <v>0</v>
      </c>
      <c r="R78" s="265">
        <f t="shared" si="5"/>
        <v>0</v>
      </c>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row>
    <row r="79" spans="1:41" ht="15.75" customHeight="1">
      <c r="A79" s="231" t="s">
        <v>672</v>
      </c>
      <c r="B79" s="260">
        <f>('Pivot Table for Data Exchange'!$D$223)*100</f>
        <v>85.959798666307606</v>
      </c>
      <c r="C79" s="260">
        <f>('Pivot Table for Data Exchange'!$D$226)*100</f>
        <v>0</v>
      </c>
      <c r="D79" s="261">
        <f>SUM(E79:G79)</f>
        <v>14.040201333692389</v>
      </c>
      <c r="E79" s="260">
        <f>('Pivot Table for Data Exchange'!$D$229)*100</f>
        <v>14.040201333692389</v>
      </c>
      <c r="F79" s="260">
        <f>('Pivot Table for Data Exchange'!$D$232)*100</f>
        <v>0</v>
      </c>
      <c r="G79" s="268">
        <f>('Pivot Table for Data Exchange'!$D$235)*100</f>
        <v>0</v>
      </c>
      <c r="H79" s="260">
        <f>('Pivot Table for Data Exchange'!$D$238)*100</f>
        <v>0</v>
      </c>
      <c r="I79" s="266" t="s">
        <v>672</v>
      </c>
      <c r="J79" s="260">
        <f>('Pivot Table for Data Exchange'!$D$241)*100</f>
        <v>79.261582929475878</v>
      </c>
      <c r="K79" s="260">
        <f>('Pivot Table for Data Exchange'!$D$244)*100</f>
        <v>0</v>
      </c>
      <c r="L79" s="261">
        <f>SUM(M79:O79)</f>
        <v>20.738417070524108</v>
      </c>
      <c r="M79" s="260">
        <f>('Pivot Table for Data Exchange'!$D$247)*100</f>
        <v>20.738417070524108</v>
      </c>
      <c r="N79" s="260">
        <f>('Pivot Table for Data Exchange'!$D$250)*100</f>
        <v>0</v>
      </c>
      <c r="O79" s="268">
        <f>('Pivot Table for Data Exchange'!$D$253)*100</f>
        <v>0</v>
      </c>
      <c r="P79" s="260">
        <f>('Pivot Table for Data Exchange'!$D$256)*100</f>
        <v>0</v>
      </c>
      <c r="Q79" s="265">
        <f t="shared" si="4"/>
        <v>100</v>
      </c>
      <c r="R79" s="265">
        <f t="shared" si="5"/>
        <v>99.999999999999986</v>
      </c>
      <c r="S79" s="314"/>
      <c r="T79" s="318"/>
      <c r="U79" s="314"/>
      <c r="V79" s="314"/>
      <c r="W79" s="314"/>
      <c r="X79" s="314"/>
      <c r="Y79" s="314"/>
      <c r="Z79" s="314"/>
      <c r="AA79" s="314"/>
      <c r="AB79" s="314"/>
      <c r="AC79" s="314"/>
      <c r="AD79" s="314"/>
      <c r="AE79" s="314"/>
      <c r="AF79" s="314"/>
      <c r="AG79" s="314"/>
      <c r="AH79" s="314"/>
      <c r="AI79" s="314"/>
      <c r="AJ79" s="314"/>
      <c r="AK79" s="314"/>
      <c r="AL79" s="314"/>
      <c r="AM79" s="314"/>
      <c r="AN79" s="314"/>
      <c r="AO79" s="314"/>
    </row>
    <row r="80" spans="1:41" ht="15.75" customHeight="1">
      <c r="A80" s="231" t="s">
        <v>673</v>
      </c>
      <c r="B80" s="260">
        <f>('Pivot Table for Data Exchange'!$D$259)*100</f>
        <v>85.197058136585952</v>
      </c>
      <c r="C80" s="260">
        <f>('Pivot Table for Data Exchange'!$D$262)*100</f>
        <v>1.5220544527410311</v>
      </c>
      <c r="D80" s="261">
        <f>SUM(E80:G80)</f>
        <v>13.280887410673026</v>
      </c>
      <c r="E80" s="260">
        <f>('Pivot Table for Data Exchange'!$D$265)*100</f>
        <v>13.280887410673026</v>
      </c>
      <c r="F80" s="260">
        <f>('Pivot Table for Data Exchange'!$D$268)*100</f>
        <v>0</v>
      </c>
      <c r="G80" s="268">
        <f>('Pivot Table for Data Exchange'!$D$271)*100</f>
        <v>0</v>
      </c>
      <c r="H80" s="260">
        <f>('Pivot Table for Data Exchange'!$D$274)*100</f>
        <v>0</v>
      </c>
      <c r="I80" s="266" t="s">
        <v>673</v>
      </c>
      <c r="J80" s="260">
        <f>('Pivot Table for Data Exchange'!$D$277)*100</f>
        <v>72.955646789608295</v>
      </c>
      <c r="K80" s="260">
        <f>('Pivot Table for Data Exchange'!$D$280)*100</f>
        <v>4.4706555391035128</v>
      </c>
      <c r="L80" s="261">
        <f>SUM(M80:O80)</f>
        <v>22.573697671288194</v>
      </c>
      <c r="M80" s="260">
        <f>('Pivot Table for Data Exchange'!$D$283)*100</f>
        <v>22.573697671288194</v>
      </c>
      <c r="N80" s="260">
        <f>('Pivot Table for Data Exchange'!$D$286)*100</f>
        <v>0</v>
      </c>
      <c r="O80" s="268">
        <f>('Pivot Table for Data Exchange'!$D$289)*100</f>
        <v>0</v>
      </c>
      <c r="P80" s="260">
        <f>('Pivot Table for Data Exchange'!$D$292)*100</f>
        <v>0</v>
      </c>
      <c r="Q80" s="265">
        <f t="shared" si="4"/>
        <v>100.00000000000001</v>
      </c>
      <c r="R80" s="265">
        <f t="shared" si="5"/>
        <v>100</v>
      </c>
      <c r="S80" s="314"/>
      <c r="U80" s="314"/>
      <c r="V80" s="314"/>
      <c r="W80" s="314"/>
      <c r="X80" s="314"/>
      <c r="Y80" s="314"/>
      <c r="Z80" s="314"/>
      <c r="AA80" s="314"/>
      <c r="AB80" s="314"/>
      <c r="AC80" s="314"/>
      <c r="AD80" s="314"/>
      <c r="AE80" s="314"/>
      <c r="AF80" s="314"/>
      <c r="AG80" s="314"/>
      <c r="AH80" s="314"/>
      <c r="AI80" s="314"/>
      <c r="AJ80" s="314"/>
      <c r="AK80" s="314"/>
      <c r="AL80" s="314"/>
      <c r="AM80" s="314"/>
      <c r="AN80" s="314"/>
      <c r="AO80" s="314"/>
    </row>
    <row r="81" spans="1:41" ht="8.25" customHeight="1">
      <c r="B81" s="260"/>
      <c r="C81" s="260"/>
      <c r="D81" s="261"/>
      <c r="E81" s="260"/>
      <c r="F81" s="260"/>
      <c r="G81" s="268"/>
      <c r="H81" s="260"/>
      <c r="I81" s="266"/>
      <c r="J81" s="260"/>
      <c r="K81" s="260"/>
      <c r="L81" s="261"/>
      <c r="M81" s="260"/>
      <c r="N81" s="260"/>
      <c r="O81" s="268"/>
      <c r="P81" s="260"/>
      <c r="Q81" s="265">
        <f t="shared" si="4"/>
        <v>0</v>
      </c>
      <c r="R81" s="265">
        <f t="shared" si="5"/>
        <v>0</v>
      </c>
      <c r="S81" s="314"/>
      <c r="U81" s="314"/>
      <c r="V81" s="314"/>
      <c r="W81" s="314"/>
      <c r="X81" s="314"/>
      <c r="Y81" s="314"/>
      <c r="Z81" s="314"/>
      <c r="AA81" s="314"/>
      <c r="AB81" s="314"/>
      <c r="AC81" s="314"/>
      <c r="AD81" s="314"/>
      <c r="AE81" s="314"/>
      <c r="AF81" s="314"/>
      <c r="AG81" s="314"/>
      <c r="AH81" s="314"/>
      <c r="AI81" s="314"/>
      <c r="AJ81" s="314"/>
      <c r="AK81" s="314"/>
      <c r="AL81" s="314"/>
      <c r="AM81" s="314"/>
      <c r="AN81" s="314"/>
      <c r="AO81" s="314"/>
    </row>
    <row r="82" spans="1:41" ht="15.75" customHeight="1">
      <c r="A82" s="231" t="s">
        <v>674</v>
      </c>
      <c r="B82" s="260">
        <f>('Pivot Table for Data Exchange'!$D$295)*100</f>
        <v>65.607948472745676</v>
      </c>
      <c r="C82" s="260">
        <f>('Pivot Table for Data Exchange'!$D$298)*100</f>
        <v>1.9371941272430668</v>
      </c>
      <c r="D82" s="261">
        <f>SUM(E82:G82)</f>
        <v>32.45485740001125</v>
      </c>
      <c r="E82" s="260">
        <f>('Pivot Table for Data Exchange'!$D$301)*100</f>
        <v>32.45485740001125</v>
      </c>
      <c r="F82" s="260">
        <f>('Pivot Table for Data Exchange'!$D$304)*100</f>
        <v>0</v>
      </c>
      <c r="G82" s="268">
        <f>('Pivot Table for Data Exchange'!$D$307)*100</f>
        <v>0</v>
      </c>
      <c r="H82" s="260">
        <f>('Pivot Table for Data Exchange'!$D$310)*100</f>
        <v>0</v>
      </c>
      <c r="I82" s="266" t="s">
        <v>674</v>
      </c>
      <c r="J82" s="260">
        <f>('Pivot Table for Data Exchange'!$D$313)*100</f>
        <v>29.717441821304686</v>
      </c>
      <c r="K82" s="260">
        <f>('Pivot Table for Data Exchange'!$D$316)*100</f>
        <v>16.182265180345539</v>
      </c>
      <c r="L82" s="261">
        <f>SUM(M82:O82)</f>
        <v>54.100292998349772</v>
      </c>
      <c r="M82" s="260">
        <f>('Pivot Table for Data Exchange'!$D$319)*100</f>
        <v>54.100292998349772</v>
      </c>
      <c r="N82" s="260">
        <f>('Pivot Table for Data Exchange'!$D$322)*100</f>
        <v>0</v>
      </c>
      <c r="O82" s="268">
        <f>('Pivot Table for Data Exchange'!$D$325)*100</f>
        <v>0</v>
      </c>
      <c r="P82" s="272">
        <f>('Pivot Table for Data Exchange'!$D$328)*100</f>
        <v>0</v>
      </c>
      <c r="Q82" s="265">
        <f t="shared" si="4"/>
        <v>99.999999999999986</v>
      </c>
      <c r="R82" s="265">
        <f t="shared" si="5"/>
        <v>100</v>
      </c>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row>
    <row r="83" spans="1:41" ht="15.75" customHeight="1">
      <c r="A83" s="231" t="s">
        <v>675</v>
      </c>
      <c r="B83" s="260">
        <f>('Pivot Table for Data Exchange'!$D$331)*100</f>
        <v>75.902077530791814</v>
      </c>
      <c r="C83" s="260">
        <f>('Pivot Table for Data Exchange'!$D$334)*100</f>
        <v>0.87127792627432388</v>
      </c>
      <c r="D83" s="261">
        <f>SUM(E83:G83)</f>
        <v>23.226644542933869</v>
      </c>
      <c r="E83" s="260">
        <f>('Pivot Table for Data Exchange'!$D$337)*100</f>
        <v>23.102042598582127</v>
      </c>
      <c r="F83" s="272">
        <f>('Pivot Table for Data Exchange'!$D$340)*100</f>
        <v>0.12460194435174241</v>
      </c>
      <c r="G83" s="268">
        <f>('Pivot Table for Data Exchange'!$D$343)*100</f>
        <v>0</v>
      </c>
      <c r="H83" s="260">
        <f>('Pivot Table for Data Exchange'!$D$346)*100</f>
        <v>0</v>
      </c>
      <c r="I83" s="266" t="s">
        <v>675</v>
      </c>
      <c r="J83" s="260">
        <f>('Pivot Table for Data Exchange'!$D$349)*100</f>
        <v>36.381258243963984</v>
      </c>
      <c r="K83" s="260">
        <f>('Pivot Table for Data Exchange'!$D$352)*100</f>
        <v>1.4497906750014338</v>
      </c>
      <c r="L83" s="261">
        <f>SUM(M83:O83)</f>
        <v>62.168951081034578</v>
      </c>
      <c r="M83" s="260">
        <f>('Pivot Table for Data Exchange'!$D$355)*100</f>
        <v>62.141423409990246</v>
      </c>
      <c r="N83" s="272">
        <f>('Pivot Table for Data Exchange'!$D$358)*100</f>
        <v>2.7527671044331022E-2</v>
      </c>
      <c r="O83" s="268">
        <f>('Pivot Table for Data Exchange'!$D$361)*100</f>
        <v>0</v>
      </c>
      <c r="P83" s="260">
        <f>('Pivot Table for Data Exchange'!$D$364)*100</f>
        <v>0</v>
      </c>
      <c r="Q83" s="265">
        <f t="shared" si="4"/>
        <v>100</v>
      </c>
      <c r="R83" s="265">
        <f t="shared" si="5"/>
        <v>100</v>
      </c>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row>
    <row r="84" spans="1:41" ht="15.75" customHeight="1">
      <c r="A84" s="231" t="s">
        <v>676</v>
      </c>
      <c r="B84" s="260">
        <f>('Pivot Table for Data Exchange'!$D$367)*100</f>
        <v>0</v>
      </c>
      <c r="C84" s="260">
        <f>('Pivot Table for Data Exchange'!$D$370)*100</f>
        <v>0</v>
      </c>
      <c r="D84" s="261">
        <f>SUM(E84:G84)</f>
        <v>0</v>
      </c>
      <c r="E84" s="260">
        <f>('Pivot Table for Data Exchange'!$D$373)*100</f>
        <v>0</v>
      </c>
      <c r="F84" s="260">
        <f>('Pivot Table for Data Exchange'!$D$376)*100</f>
        <v>0</v>
      </c>
      <c r="G84" s="268">
        <f>('Pivot Table for Data Exchange'!$D$379)*100</f>
        <v>0</v>
      </c>
      <c r="H84" s="260">
        <f>('Pivot Table for Data Exchange'!$D$382)*100</f>
        <v>0</v>
      </c>
      <c r="I84" s="266" t="s">
        <v>676</v>
      </c>
      <c r="J84" s="260">
        <f>('Pivot Table for Data Exchange'!$D$385)*100</f>
        <v>0</v>
      </c>
      <c r="K84" s="260">
        <f>('Pivot Table for Data Exchange'!$D$388)*100</f>
        <v>0</v>
      </c>
      <c r="L84" s="261">
        <f>SUM(M84:O84)</f>
        <v>0</v>
      </c>
      <c r="M84" s="260">
        <f>('Pivot Table for Data Exchange'!$D$391)*100</f>
        <v>0</v>
      </c>
      <c r="N84" s="260">
        <f>('Pivot Table for Data Exchange'!$D$394)*100</f>
        <v>0</v>
      </c>
      <c r="O84" s="268">
        <f>('Pivot Table for Data Exchange'!$D$397)*100</f>
        <v>0</v>
      </c>
      <c r="P84" s="260">
        <f>('Pivot Table for Data Exchange'!$D$400)*100</f>
        <v>0</v>
      </c>
      <c r="Q84" s="265">
        <f t="shared" si="4"/>
        <v>0</v>
      </c>
      <c r="R84" s="265">
        <f t="shared" si="5"/>
        <v>0</v>
      </c>
      <c r="S84" s="314"/>
      <c r="T84" s="318"/>
      <c r="U84" s="314"/>
      <c r="V84" s="314"/>
      <c r="W84" s="314"/>
      <c r="X84" s="314"/>
      <c r="Y84" s="314"/>
      <c r="Z84" s="314"/>
      <c r="AA84" s="314"/>
      <c r="AB84" s="314"/>
      <c r="AC84" s="314"/>
      <c r="AD84" s="314"/>
      <c r="AE84" s="314"/>
      <c r="AF84" s="314"/>
      <c r="AG84" s="314"/>
      <c r="AH84" s="314"/>
      <c r="AI84" s="314"/>
      <c r="AJ84" s="314"/>
      <c r="AK84" s="314"/>
      <c r="AL84" s="314"/>
      <c r="AM84" s="314"/>
      <c r="AN84" s="314"/>
      <c r="AO84" s="314"/>
    </row>
    <row r="85" spans="1:41" ht="15.75" customHeight="1">
      <c r="A85" s="231" t="s">
        <v>677</v>
      </c>
      <c r="B85" s="260">
        <f>('Pivot Table for Data Exchange'!$D$403)*100</f>
        <v>0</v>
      </c>
      <c r="C85" s="260">
        <f>('Pivot Table for Data Exchange'!$D$406)*100</f>
        <v>0</v>
      </c>
      <c r="D85" s="261">
        <f>SUM(E85:G85)</f>
        <v>0</v>
      </c>
      <c r="E85" s="260">
        <f>('Pivot Table for Data Exchange'!$D$409)*100</f>
        <v>0</v>
      </c>
      <c r="F85" s="260">
        <f>('Pivot Table for Data Exchange'!$D$412)*100</f>
        <v>0</v>
      </c>
      <c r="G85" s="268">
        <f>('Pivot Table for Data Exchange'!$D$415)*100</f>
        <v>0</v>
      </c>
      <c r="H85" s="260">
        <f>('Pivot Table for Data Exchange'!$D$418)*100</f>
        <v>0</v>
      </c>
      <c r="I85" s="266" t="s">
        <v>677</v>
      </c>
      <c r="J85" s="260">
        <f>('Pivot Table for Data Exchange'!$D$421)*100</f>
        <v>0</v>
      </c>
      <c r="K85" s="260">
        <f>('Pivot Table for Data Exchange'!$D$424)*100</f>
        <v>0</v>
      </c>
      <c r="L85" s="261">
        <f>SUM(M85:O85)</f>
        <v>0</v>
      </c>
      <c r="M85" s="260">
        <f>('Pivot Table for Data Exchange'!$D$427)*100</f>
        <v>0</v>
      </c>
      <c r="N85" s="260">
        <f>('Pivot Table for Data Exchange'!$D$430)*100</f>
        <v>0</v>
      </c>
      <c r="O85" s="268">
        <f>('Pivot Table for Data Exchange'!$D$433)*100</f>
        <v>0</v>
      </c>
      <c r="P85" s="260">
        <f>('Pivot Table for Data Exchange'!$D$436)*100</f>
        <v>0</v>
      </c>
      <c r="Q85" s="265">
        <f t="shared" si="4"/>
        <v>0</v>
      </c>
      <c r="R85" s="265">
        <f t="shared" si="5"/>
        <v>0</v>
      </c>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row>
    <row r="86" spans="1:41" ht="8.25" customHeight="1">
      <c r="B86" s="260"/>
      <c r="C86" s="260"/>
      <c r="D86" s="261"/>
      <c r="E86" s="260"/>
      <c r="F86" s="260"/>
      <c r="G86" s="268"/>
      <c r="H86" s="260"/>
      <c r="I86" s="266"/>
      <c r="J86" s="260"/>
      <c r="K86" s="260"/>
      <c r="L86" s="261"/>
      <c r="M86" s="260"/>
      <c r="N86" s="260"/>
      <c r="O86" s="268"/>
      <c r="P86" s="260"/>
      <c r="Q86" s="265">
        <f t="shared" si="4"/>
        <v>0</v>
      </c>
      <c r="R86" s="265">
        <f t="shared" si="5"/>
        <v>0</v>
      </c>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row>
    <row r="87" spans="1:41" ht="15.75" customHeight="1">
      <c r="A87" s="231" t="s">
        <v>678</v>
      </c>
      <c r="B87" s="260">
        <f>('Pivot Table for Data Exchange'!$D$439)*100</f>
        <v>71.377915360682124</v>
      </c>
      <c r="C87" s="260">
        <f>('Pivot Table for Data Exchange'!$D$442)*100</f>
        <v>4.0051356216730776</v>
      </c>
      <c r="D87" s="261">
        <f>SUM(E87:G87)</f>
        <v>23.879802994871707</v>
      </c>
      <c r="E87" s="260">
        <f>('Pivot Table for Data Exchange'!$D$445)*100</f>
        <v>19.060549859199767</v>
      </c>
      <c r="F87" s="260">
        <f>('Pivot Table for Data Exchange'!$D$448)*100</f>
        <v>0.94680170363567251</v>
      </c>
      <c r="G87" s="268">
        <f>('Pivot Table for Data Exchange'!$D$451)*100</f>
        <v>3.8724514320362675</v>
      </c>
      <c r="H87" s="260">
        <f>('Pivot Table for Data Exchange'!$D$454)*100</f>
        <v>0.73714602277308916</v>
      </c>
      <c r="I87" s="266" t="s">
        <v>678</v>
      </c>
      <c r="J87" s="260">
        <f>('Pivot Table for Data Exchange'!$D$457)*100</f>
        <v>44.346636874951848</v>
      </c>
      <c r="K87" s="260">
        <f>('Pivot Table for Data Exchange'!$D$460)*100</f>
        <v>8.4001078665536628</v>
      </c>
      <c r="L87" s="261">
        <f>SUM(M87:O87)</f>
        <v>42.849988442869254</v>
      </c>
      <c r="M87" s="260">
        <f>('Pivot Table for Data Exchange'!$D$463)*100</f>
        <v>39.701633407812622</v>
      </c>
      <c r="N87" s="260">
        <f>('Pivot Table for Data Exchange'!$D$466)*100</f>
        <v>0.31782109561599503</v>
      </c>
      <c r="O87" s="268">
        <f>('Pivot Table for Data Exchange'!$D$469)*100</f>
        <v>2.830533939440635</v>
      </c>
      <c r="P87" s="260">
        <f>('Pivot Table for Data Exchange'!$D$472)*100</f>
        <v>4.4032668156252415</v>
      </c>
      <c r="Q87" s="265">
        <f t="shared" si="4"/>
        <v>100</v>
      </c>
      <c r="R87" s="265">
        <f t="shared" si="5"/>
        <v>100</v>
      </c>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row>
    <row r="88" spans="1:41" ht="15.75" customHeight="1">
      <c r="A88" s="231" t="s">
        <v>679</v>
      </c>
      <c r="B88" s="260">
        <f>('Pivot Table for Data Exchange'!$D$475)*100</f>
        <v>0</v>
      </c>
      <c r="C88" s="260">
        <f>('Pivot Table for Data Exchange'!$D$478)*100</f>
        <v>0</v>
      </c>
      <c r="D88" s="261">
        <f>SUM(E88:G88)</f>
        <v>0</v>
      </c>
      <c r="E88" s="260">
        <f>('Pivot Table for Data Exchange'!$D$481)*100</f>
        <v>0</v>
      </c>
      <c r="F88" s="260">
        <f>('Pivot Table for Data Exchange'!$D$484)*100</f>
        <v>0</v>
      </c>
      <c r="G88" s="267">
        <f>('Pivot Table for Data Exchange'!$D$487)*100</f>
        <v>0</v>
      </c>
      <c r="H88" s="260">
        <f>('Pivot Table for Data Exchange'!$D$490)*100</f>
        <v>0</v>
      </c>
      <c r="I88" s="266" t="s">
        <v>679</v>
      </c>
      <c r="J88" s="260">
        <f>('Pivot Table for Data Exchange'!$D$493)*100</f>
        <v>0</v>
      </c>
      <c r="K88" s="260">
        <f>('Pivot Table for Data Exchange'!$D$496)*100</f>
        <v>0</v>
      </c>
      <c r="L88" s="261">
        <f>SUM(M88:O88)</f>
        <v>0</v>
      </c>
      <c r="M88" s="260">
        <f>('Pivot Table for Data Exchange'!$D$499)*100</f>
        <v>0</v>
      </c>
      <c r="N88" s="260">
        <f>('Pivot Table for Data Exchange'!$D$502)*100</f>
        <v>0</v>
      </c>
      <c r="O88" s="267">
        <f>('Pivot Table for Data Exchange'!$D$505)*100</f>
        <v>0</v>
      </c>
      <c r="P88" s="260">
        <f>('Pivot Table for Data Exchange'!$D$508)*100</f>
        <v>0</v>
      </c>
      <c r="Q88" s="265">
        <f t="shared" si="4"/>
        <v>0</v>
      </c>
      <c r="R88" s="265">
        <f t="shared" si="5"/>
        <v>0</v>
      </c>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row>
    <row r="89" spans="1:41" ht="15.75" customHeight="1">
      <c r="A89" s="231" t="s">
        <v>680</v>
      </c>
      <c r="B89" s="260">
        <f>('Pivot Table for Data Exchange'!$D$511)*100</f>
        <v>96.54237048823336</v>
      </c>
      <c r="C89" s="260">
        <f>('Pivot Table for Data Exchange'!$D$514)*100</f>
        <v>2.8450637682025159</v>
      </c>
      <c r="D89" s="261">
        <f>SUM(E89:G89)</f>
        <v>0.61256574356412263</v>
      </c>
      <c r="E89" s="260">
        <f>('Pivot Table for Data Exchange'!$D$517)*100</f>
        <v>0.61256574356412263</v>
      </c>
      <c r="F89" s="260">
        <f>('Pivot Table for Data Exchange'!$D$520)*100</f>
        <v>0</v>
      </c>
      <c r="G89" s="268">
        <f>('Pivot Table for Data Exchange'!$D$523)*100</f>
        <v>0</v>
      </c>
      <c r="H89" s="260">
        <f>('Pivot Table for Data Exchange'!$D$526)*100</f>
        <v>0</v>
      </c>
      <c r="I89" s="266" t="s">
        <v>680</v>
      </c>
      <c r="J89" s="260">
        <f>('Pivot Table for Data Exchange'!$D$529)*100</f>
        <v>76.588335504559581</v>
      </c>
      <c r="K89" s="260">
        <f>('Pivot Table for Data Exchange'!$D$532)*100</f>
        <v>7.5892708020175697</v>
      </c>
      <c r="L89" s="261">
        <f>SUM(M89:O89)</f>
        <v>15.822393693422853</v>
      </c>
      <c r="M89" s="260">
        <f>('Pivot Table for Data Exchange'!$D$535)*100</f>
        <v>15.822393693422853</v>
      </c>
      <c r="N89" s="260">
        <f>('Pivot Table for Data Exchange'!$D$538)*100</f>
        <v>0</v>
      </c>
      <c r="O89" s="268">
        <f>('Pivot Table for Data Exchange'!$D$541)*100</f>
        <v>0</v>
      </c>
      <c r="P89" s="260">
        <f>('Pivot Table for Data Exchange'!$D$544)*100</f>
        <v>0</v>
      </c>
      <c r="Q89" s="265">
        <f t="shared" si="4"/>
        <v>100</v>
      </c>
      <c r="R89" s="265">
        <f t="shared" si="5"/>
        <v>100</v>
      </c>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row>
    <row r="90" spans="1:41" ht="15.75" customHeight="1">
      <c r="A90" s="237" t="s">
        <v>681</v>
      </c>
      <c r="B90" s="273">
        <f>('Pivot Table for Data Exchange'!$D$547)*100</f>
        <v>0</v>
      </c>
      <c r="C90" s="273">
        <f>('Pivot Table for Data Exchange'!$D$550)*100</f>
        <v>0</v>
      </c>
      <c r="D90" s="274">
        <f>SUM(E90:G90)</f>
        <v>0</v>
      </c>
      <c r="E90" s="273">
        <f>('Pivot Table for Data Exchange'!$D$553)*100</f>
        <v>0</v>
      </c>
      <c r="F90" s="273">
        <f>('Pivot Table for Data Exchange'!$D$556)*100</f>
        <v>0</v>
      </c>
      <c r="G90" s="275">
        <f>('Pivot Table for Data Exchange'!$D$559)*100</f>
        <v>0</v>
      </c>
      <c r="H90" s="273">
        <f>('Pivot Table for Data Exchange'!$D$562)*100</f>
        <v>0</v>
      </c>
      <c r="I90" s="276" t="s">
        <v>681</v>
      </c>
      <c r="J90" s="273">
        <f>('Pivot Table for Data Exchange'!$D$565)*100</f>
        <v>0</v>
      </c>
      <c r="K90" s="273">
        <f>('Pivot Table for Data Exchange'!$D$568)*100</f>
        <v>0</v>
      </c>
      <c r="L90" s="274">
        <f>SUM(M90:O90)</f>
        <v>0</v>
      </c>
      <c r="M90" s="273">
        <f>('Pivot Table for Data Exchange'!$D$571)*100</f>
        <v>0</v>
      </c>
      <c r="N90" s="273">
        <f>('Pivot Table for Data Exchange'!$D$574)*100</f>
        <v>0</v>
      </c>
      <c r="O90" s="275">
        <f>('Pivot Table for Data Exchange'!$D$577)*100</f>
        <v>0</v>
      </c>
      <c r="P90" s="273">
        <f>('Pivot Table for Data Exchange'!$D$580)*100</f>
        <v>0</v>
      </c>
      <c r="Q90" s="265">
        <f t="shared" si="4"/>
        <v>0</v>
      </c>
      <c r="R90" s="265">
        <f t="shared" si="5"/>
        <v>0</v>
      </c>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row>
    <row r="91" spans="1:41" s="304" customFormat="1" ht="18" customHeight="1">
      <c r="A91" s="279" t="s">
        <v>706</v>
      </c>
      <c r="B91" s="280"/>
      <c r="C91" s="280"/>
      <c r="D91" s="281"/>
      <c r="E91" s="280"/>
      <c r="F91" s="281"/>
      <c r="G91" s="281"/>
      <c r="H91" s="280"/>
      <c r="I91" s="279" t="s">
        <v>706</v>
      </c>
      <c r="J91" s="280"/>
      <c r="K91" s="280"/>
      <c r="L91" s="281"/>
      <c r="M91" s="280"/>
      <c r="N91" s="281"/>
      <c r="O91" s="281"/>
      <c r="P91" s="280"/>
      <c r="Q91" s="265">
        <f t="shared" ref="Q91:Q153" si="14">SUM(B91,C91,D91,H91)</f>
        <v>0</v>
      </c>
      <c r="R91" s="265">
        <f t="shared" ref="R91:R153" si="15">SUM(J91,K91,L91,P91)</f>
        <v>0</v>
      </c>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row>
    <row r="92" spans="1:41" s="304" customFormat="1" ht="9.75" customHeight="1">
      <c r="A92" s="283"/>
      <c r="B92" s="292"/>
      <c r="C92" s="292"/>
      <c r="D92" s="292"/>
      <c r="E92" s="292"/>
      <c r="F92" s="292"/>
      <c r="G92" s="292"/>
      <c r="H92" s="292"/>
      <c r="I92" s="283"/>
      <c r="J92" s="292"/>
      <c r="K92" s="292"/>
      <c r="L92" s="292"/>
      <c r="M92" s="292"/>
      <c r="N92" s="292"/>
      <c r="O92" s="292"/>
      <c r="P92" s="292"/>
      <c r="Q92" s="265">
        <f t="shared" si="14"/>
        <v>0</v>
      </c>
      <c r="R92" s="265">
        <f t="shared" si="15"/>
        <v>0</v>
      </c>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row>
    <row r="93" spans="1:41" s="304" customFormat="1" ht="13.5" customHeight="1">
      <c r="A93" s="289"/>
      <c r="B93" s="290"/>
      <c r="C93" s="278"/>
      <c r="D93" s="278"/>
      <c r="E93" s="278"/>
      <c r="F93" s="278"/>
      <c r="G93" s="278"/>
      <c r="H93" s="284" t="s">
        <v>839</v>
      </c>
      <c r="I93" s="289"/>
      <c r="J93" s="278"/>
      <c r="K93" s="278"/>
      <c r="L93" s="278"/>
      <c r="M93" s="278"/>
      <c r="N93" s="278"/>
      <c r="O93" s="278"/>
      <c r="P93" s="284" t="s">
        <v>839</v>
      </c>
      <c r="Q93" s="265">
        <f t="shared" si="14"/>
        <v>0</v>
      </c>
      <c r="R93" s="265">
        <f t="shared" si="15"/>
        <v>0</v>
      </c>
    </row>
    <row r="94" spans="1:41" ht="18">
      <c r="A94" s="226" t="s">
        <v>710</v>
      </c>
      <c r="B94" s="227"/>
      <c r="C94" s="227"/>
      <c r="D94" s="227"/>
      <c r="E94" s="227"/>
      <c r="F94" s="227"/>
      <c r="G94" s="227"/>
      <c r="H94" s="227"/>
      <c r="I94" s="226" t="s">
        <v>711</v>
      </c>
      <c r="J94" s="228"/>
      <c r="K94" s="228"/>
      <c r="L94" s="227"/>
      <c r="M94" s="228"/>
      <c r="N94" s="228"/>
      <c r="O94" s="228"/>
      <c r="P94" s="228"/>
      <c r="Q94" s="265">
        <f t="shared" si="14"/>
        <v>0</v>
      </c>
      <c r="R94" s="265">
        <f t="shared" si="15"/>
        <v>0</v>
      </c>
    </row>
    <row r="95" spans="1:41" ht="13">
      <c r="A95" s="232"/>
      <c r="B95" s="228"/>
      <c r="C95" s="228"/>
      <c r="D95" s="228"/>
      <c r="E95" s="228"/>
      <c r="F95" s="228"/>
      <c r="G95" s="228"/>
      <c r="H95" s="228"/>
      <c r="I95" s="232"/>
      <c r="J95" s="228"/>
      <c r="K95" s="228"/>
      <c r="L95" s="228"/>
      <c r="M95" s="228"/>
      <c r="N95" s="228"/>
      <c r="O95" s="228"/>
      <c r="P95" s="228"/>
      <c r="Q95" s="265">
        <f t="shared" si="14"/>
        <v>0</v>
      </c>
      <c r="R95" s="265">
        <f t="shared" si="15"/>
        <v>0</v>
      </c>
    </row>
    <row r="96" spans="1:41" ht="15.5">
      <c r="A96" s="234" t="s">
        <v>687</v>
      </c>
      <c r="B96" s="228"/>
      <c r="C96" s="228"/>
      <c r="D96" s="228"/>
      <c r="E96" s="228"/>
      <c r="F96" s="228"/>
      <c r="G96" s="228"/>
      <c r="H96" s="228"/>
      <c r="I96" s="234" t="s">
        <v>688</v>
      </c>
      <c r="J96" s="228"/>
      <c r="K96" s="228"/>
      <c r="L96" s="228"/>
      <c r="M96" s="228"/>
      <c r="N96" s="228"/>
      <c r="O96" s="228"/>
      <c r="P96" s="228"/>
      <c r="Q96" s="265">
        <f t="shared" si="14"/>
        <v>0</v>
      </c>
      <c r="R96" s="265">
        <f t="shared" si="15"/>
        <v>0</v>
      </c>
    </row>
    <row r="97" spans="1:41" ht="15.5">
      <c r="A97" s="234" t="s">
        <v>827</v>
      </c>
      <c r="B97" s="228"/>
      <c r="C97" s="228"/>
      <c r="D97" s="228"/>
      <c r="E97" s="228"/>
      <c r="F97" s="228"/>
      <c r="G97" s="228"/>
      <c r="H97" s="228"/>
      <c r="I97" s="234" t="s">
        <v>827</v>
      </c>
      <c r="J97" s="228"/>
      <c r="K97" s="228"/>
      <c r="L97" s="228"/>
      <c r="M97" s="228"/>
      <c r="N97" s="228"/>
      <c r="O97" s="228"/>
      <c r="P97" s="228"/>
      <c r="Q97" s="265">
        <f t="shared" si="14"/>
        <v>0</v>
      </c>
      <c r="R97" s="265">
        <f t="shared" si="15"/>
        <v>0</v>
      </c>
    </row>
    <row r="98" spans="1:41">
      <c r="A98" s="237"/>
      <c r="B98" s="238"/>
      <c r="C98" s="238"/>
      <c r="D98" s="238"/>
      <c r="E98" s="238"/>
      <c r="F98" s="238"/>
      <c r="G98" s="238"/>
      <c r="H98" s="238"/>
      <c r="I98" s="239"/>
      <c r="L98" s="240"/>
      <c r="P98" s="237"/>
      <c r="Q98" s="265">
        <f t="shared" si="14"/>
        <v>0</v>
      </c>
      <c r="R98" s="265">
        <f t="shared" si="15"/>
        <v>0</v>
      </c>
    </row>
    <row r="99" spans="1:41" s="258" customFormat="1">
      <c r="A99" s="242"/>
      <c r="B99" s="243" t="s">
        <v>689</v>
      </c>
      <c r="C99" s="243"/>
      <c r="D99" s="243"/>
      <c r="E99" s="243"/>
      <c r="F99" s="243"/>
      <c r="G99" s="243"/>
      <c r="H99" s="244"/>
      <c r="I99" s="242"/>
      <c r="J99" s="243" t="s">
        <v>689</v>
      </c>
      <c r="K99" s="243"/>
      <c r="L99" s="243"/>
      <c r="M99" s="243"/>
      <c r="N99" s="243"/>
      <c r="O99" s="243"/>
      <c r="P99" s="244"/>
      <c r="Q99" s="265">
        <f t="shared" si="14"/>
        <v>0</v>
      </c>
      <c r="R99" s="265">
        <f t="shared" si="15"/>
        <v>0</v>
      </c>
    </row>
    <row r="100" spans="1:41" s="258" customFormat="1">
      <c r="A100" s="242"/>
      <c r="B100" s="243" t="s">
        <v>690</v>
      </c>
      <c r="C100" s="243"/>
      <c r="D100" s="485" t="s">
        <v>691</v>
      </c>
      <c r="E100" s="483"/>
      <c r="F100" s="483"/>
      <c r="G100" s="483"/>
      <c r="H100" s="250" t="s">
        <v>581</v>
      </c>
      <c r="I100" s="242"/>
      <c r="J100" s="243" t="s">
        <v>690</v>
      </c>
      <c r="K100" s="243"/>
      <c r="L100" s="485" t="s">
        <v>691</v>
      </c>
      <c r="M100" s="483"/>
      <c r="N100" s="483"/>
      <c r="O100" s="483"/>
      <c r="P100" s="250" t="s">
        <v>581</v>
      </c>
      <c r="Q100" s="265">
        <f t="shared" si="14"/>
        <v>0</v>
      </c>
      <c r="R100" s="265">
        <f t="shared" si="15"/>
        <v>0</v>
      </c>
    </row>
    <row r="101" spans="1:41" s="258" customFormat="1" ht="40.5" customHeight="1">
      <c r="A101" s="242"/>
      <c r="B101" s="251" t="s">
        <v>692</v>
      </c>
      <c r="C101" s="252" t="s">
        <v>693</v>
      </c>
      <c r="D101" s="253" t="s">
        <v>694</v>
      </c>
      <c r="E101" s="254" t="s">
        <v>8</v>
      </c>
      <c r="F101" s="251" t="s">
        <v>695</v>
      </c>
      <c r="G101" s="255" t="s">
        <v>704</v>
      </c>
      <c r="H101" s="256" t="s">
        <v>697</v>
      </c>
      <c r="I101" s="242"/>
      <c r="J101" s="251" t="s">
        <v>692</v>
      </c>
      <c r="K101" s="252" t="s">
        <v>693</v>
      </c>
      <c r="L101" s="253" t="s">
        <v>694</v>
      </c>
      <c r="M101" s="254" t="s">
        <v>8</v>
      </c>
      <c r="N101" s="251" t="s">
        <v>695</v>
      </c>
      <c r="O101" s="255" t="s">
        <v>704</v>
      </c>
      <c r="P101" s="256" t="s">
        <v>697</v>
      </c>
      <c r="Q101" s="265">
        <f t="shared" si="14"/>
        <v>0</v>
      </c>
      <c r="R101" s="265">
        <f t="shared" si="15"/>
        <v>0</v>
      </c>
      <c r="T101" s="257"/>
    </row>
    <row r="102" spans="1:41" ht="15.75" customHeight="1">
      <c r="A102" s="286" t="s">
        <v>666</v>
      </c>
      <c r="B102" s="313">
        <f>('Pivot Table for Data Exchange'!$E$7)*100</f>
        <v>71.947202421014879</v>
      </c>
      <c r="C102" s="260">
        <f>('Pivot Table for Data Exchange'!$E$10)*100</f>
        <v>0.32989275415006558</v>
      </c>
      <c r="D102" s="261">
        <f>SUM(E102:G102)</f>
        <v>27.722904824835048</v>
      </c>
      <c r="E102" s="260">
        <f>('Pivot Table for Data Exchange'!$E$13)*100</f>
        <v>26.641357694140531</v>
      </c>
      <c r="F102" s="260">
        <f>('Pivot Table for Data Exchange'!$E$16)*100</f>
        <v>1.0815471306945188</v>
      </c>
      <c r="G102" s="264">
        <f>('Pivot Table for Data Exchange'!$E$19)*100</f>
        <v>0</v>
      </c>
      <c r="H102" s="260">
        <f>('Pivot Table for Data Exchange'!$E$22)*100</f>
        <v>0</v>
      </c>
      <c r="I102" s="263" t="s">
        <v>666</v>
      </c>
      <c r="J102" s="260">
        <f>('Pivot Table for Data Exchange'!$E$25)*100</f>
        <v>39.193843825906896</v>
      </c>
      <c r="K102" s="260">
        <f>('Pivot Table for Data Exchange'!$E$28)*100</f>
        <v>0.88101779954605186</v>
      </c>
      <c r="L102" s="261">
        <f>SUM(M102:O102)</f>
        <v>59.925138374547046</v>
      </c>
      <c r="M102" s="260">
        <f>('Pivot Table for Data Exchange'!$E$31)*100</f>
        <v>58.222832795763146</v>
      </c>
      <c r="N102" s="260">
        <f>('Pivot Table for Data Exchange'!$E$34)*100</f>
        <v>0</v>
      </c>
      <c r="O102" s="264">
        <f>('Pivot Table for Data Exchange'!$E$37)*100</f>
        <v>1.7023055787838965</v>
      </c>
      <c r="P102" s="260">
        <f>('Pivot Table for Data Exchange'!$E$40)*100</f>
        <v>0</v>
      </c>
      <c r="Q102" s="265">
        <f t="shared" si="14"/>
        <v>100</v>
      </c>
      <c r="R102" s="265">
        <f t="shared" si="15"/>
        <v>100</v>
      </c>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row>
    <row r="103" spans="1:41" ht="15.75" customHeight="1">
      <c r="A103" s="231" t="s">
        <v>667</v>
      </c>
      <c r="B103" s="260">
        <f>('Pivot Table for Data Exchange'!$E$43)*100</f>
        <v>71.641295622585716</v>
      </c>
      <c r="C103" s="260">
        <f>('Pivot Table for Data Exchange'!$E$46)*100</f>
        <v>4.989175814657151</v>
      </c>
      <c r="D103" s="261">
        <f t="shared" ref="D103:D105" si="16">SUM(E103:G103)</f>
        <v>23.369528562757132</v>
      </c>
      <c r="E103" s="260">
        <f>('Pivot Table for Data Exchange'!$E$49)*100</f>
        <v>22.849941217466281</v>
      </c>
      <c r="F103" s="260">
        <f>('Pivot Table for Data Exchange'!$E$52)*100</f>
        <v>0.1605444228004819</v>
      </c>
      <c r="G103" s="268">
        <f>('Pivot Table for Data Exchange'!$E$55)*100</f>
        <v>0.35904292249036934</v>
      </c>
      <c r="H103" s="272">
        <f>('Pivot Table for Data Exchange'!$E$58)*100</f>
        <v>0</v>
      </c>
      <c r="I103" s="266" t="s">
        <v>667</v>
      </c>
      <c r="J103" s="260">
        <f>('Pivot Table for Data Exchange'!$E$61)*100</f>
        <v>29.901739363826209</v>
      </c>
      <c r="K103" s="260">
        <f>('Pivot Table for Data Exchange'!$E$64)*100</f>
        <v>0.14729275908796324</v>
      </c>
      <c r="L103" s="261">
        <f t="shared" ref="L103:L105" si="17">SUM(M103:O103)</f>
        <v>69.95096787708583</v>
      </c>
      <c r="M103" s="260">
        <f>('Pivot Table for Data Exchange'!$E$67)*100</f>
        <v>68.009321995064056</v>
      </c>
      <c r="N103" s="260">
        <f>('Pivot Table for Data Exchange'!$E$70)*100</f>
        <v>1.5554115359688918</v>
      </c>
      <c r="O103" s="268">
        <f>('Pivot Table for Data Exchange'!$E$73)*100</f>
        <v>0.38623434605288137</v>
      </c>
      <c r="P103" s="260">
        <f>('Pivot Table for Data Exchange'!$E$76)*100</f>
        <v>0</v>
      </c>
      <c r="Q103" s="265">
        <f t="shared" si="14"/>
        <v>100</v>
      </c>
      <c r="R103" s="265">
        <f t="shared" si="15"/>
        <v>100</v>
      </c>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row>
    <row r="104" spans="1:41" ht="15.75" customHeight="1">
      <c r="A104" s="231" t="s">
        <v>668</v>
      </c>
      <c r="B104" s="260">
        <f>('Pivot Table for Data Exchange'!$E$79)*100</f>
        <v>88.16885357229279</v>
      </c>
      <c r="C104" s="260">
        <f>('Pivot Table for Data Exchange'!$E$82)*100</f>
        <v>0</v>
      </c>
      <c r="D104" s="261">
        <f t="shared" si="16"/>
        <v>11.831146427707223</v>
      </c>
      <c r="E104" s="260">
        <f>('Pivot Table for Data Exchange'!$E$85)*100</f>
        <v>11.831146427707223</v>
      </c>
      <c r="F104" s="260">
        <f>('Pivot Table for Data Exchange'!$E$88)*100</f>
        <v>0</v>
      </c>
      <c r="G104" s="268">
        <f>('Pivot Table for Data Exchange'!$E$91)*100</f>
        <v>0</v>
      </c>
      <c r="H104" s="260">
        <f>('Pivot Table for Data Exchange'!$E$94)*100</f>
        <v>0</v>
      </c>
      <c r="I104" s="266" t="s">
        <v>668</v>
      </c>
      <c r="J104" s="260">
        <f>('Pivot Table for Data Exchange'!$E$97)*100</f>
        <v>67.651525610934698</v>
      </c>
      <c r="K104" s="260">
        <f>('Pivot Table for Data Exchange'!$E$100)*100</f>
        <v>0</v>
      </c>
      <c r="L104" s="261">
        <f t="shared" si="17"/>
        <v>32.348474389065309</v>
      </c>
      <c r="M104" s="260">
        <f>('Pivot Table for Data Exchange'!$E$103)*100</f>
        <v>32.348474389065309</v>
      </c>
      <c r="N104" s="260">
        <f>('Pivot Table for Data Exchange'!$E$106)*100</f>
        <v>0</v>
      </c>
      <c r="O104" s="268">
        <f>('Pivot Table for Data Exchange'!$E$109)*100</f>
        <v>0</v>
      </c>
      <c r="P104" s="260">
        <f>('Pivot Table for Data Exchange'!$E$112)*100</f>
        <v>0</v>
      </c>
      <c r="Q104" s="265">
        <f t="shared" si="14"/>
        <v>100.00000000000001</v>
      </c>
      <c r="R104" s="265">
        <f t="shared" si="15"/>
        <v>100</v>
      </c>
      <c r="S104" s="314"/>
      <c r="T104" s="318"/>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row>
    <row r="105" spans="1:41" ht="15.75" customHeight="1">
      <c r="A105" s="231" t="s">
        <v>705</v>
      </c>
      <c r="B105" s="260">
        <f>('Pivot Table for Data Exchange'!$E$115)*100</f>
        <v>0</v>
      </c>
      <c r="C105" s="260">
        <f>('Pivot Table for Data Exchange'!$E$118)*100</f>
        <v>0</v>
      </c>
      <c r="D105" s="261">
        <f t="shared" si="16"/>
        <v>0</v>
      </c>
      <c r="E105" s="260">
        <f>('Pivot Table for Data Exchange'!$E$121)*100</f>
        <v>0</v>
      </c>
      <c r="F105" s="260">
        <f>('Pivot Table for Data Exchange'!$E$124)*100</f>
        <v>0</v>
      </c>
      <c r="G105" s="268">
        <f>('Pivot Table for Data Exchange'!$E$127)*100</f>
        <v>0</v>
      </c>
      <c r="H105" s="260">
        <f>('Pivot Table for Data Exchange'!$E$130)*100</f>
        <v>0</v>
      </c>
      <c r="I105" s="266" t="s">
        <v>705</v>
      </c>
      <c r="J105" s="260">
        <f>('Pivot Table for Data Exchange'!$E$133)*100</f>
        <v>0</v>
      </c>
      <c r="K105" s="260">
        <f>('Pivot Table for Data Exchange'!$E$136)*100</f>
        <v>0</v>
      </c>
      <c r="L105" s="261">
        <f t="shared" si="17"/>
        <v>0</v>
      </c>
      <c r="M105" s="260">
        <f>('Pivot Table for Data Exchange'!$E$139)*100</f>
        <v>0</v>
      </c>
      <c r="N105" s="260">
        <f>('Pivot Table for Data Exchange'!$E$142)*100</f>
        <v>0</v>
      </c>
      <c r="O105" s="268">
        <f>('Pivot Table for Data Exchange'!$E$145)*100</f>
        <v>0</v>
      </c>
      <c r="P105" s="260">
        <f>('Pivot Table for Data Exchange'!$E$148)*100</f>
        <v>0</v>
      </c>
      <c r="Q105" s="265">
        <f t="shared" si="14"/>
        <v>0</v>
      </c>
      <c r="R105" s="265">
        <f t="shared" si="15"/>
        <v>0</v>
      </c>
      <c r="S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row>
    <row r="106" spans="1:41" ht="11.25" customHeight="1">
      <c r="B106" s="260"/>
      <c r="C106" s="260"/>
      <c r="D106" s="261"/>
      <c r="E106" s="260"/>
      <c r="F106" s="260"/>
      <c r="G106" s="268"/>
      <c r="H106" s="260"/>
      <c r="I106" s="266"/>
      <c r="J106" s="260"/>
      <c r="K106" s="260"/>
      <c r="L106" s="261"/>
      <c r="M106" s="260"/>
      <c r="N106" s="260"/>
      <c r="O106" s="268"/>
      <c r="P106" s="260"/>
      <c r="Q106" s="265">
        <f t="shared" si="14"/>
        <v>0</v>
      </c>
      <c r="R106" s="265">
        <f t="shared" si="15"/>
        <v>0</v>
      </c>
      <c r="S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row>
    <row r="107" spans="1:41" ht="15.75" customHeight="1">
      <c r="A107" s="231" t="s">
        <v>670</v>
      </c>
      <c r="B107" s="260">
        <f>('Pivot Table for Data Exchange'!$E$151)*100</f>
        <v>70.409439160180412</v>
      </c>
      <c r="C107" s="260">
        <f>('Pivot Table for Data Exchange'!$E$154)*100</f>
        <v>1.0415935505139229</v>
      </c>
      <c r="D107" s="261">
        <f t="shared" ref="D107:D108" si="18">SUM(E107:G107)</f>
        <v>28.548967289305672</v>
      </c>
      <c r="E107" s="260">
        <f>('Pivot Table for Data Exchange'!$E$157)*100</f>
        <v>28.524956953243258</v>
      </c>
      <c r="F107" s="272">
        <f>('Pivot Table for Data Exchange'!$E$160)*100</f>
        <v>1.9508398050709249E-2</v>
      </c>
      <c r="G107" s="267">
        <f>('Pivot Table for Data Exchange'!$E$163)*100</f>
        <v>4.5019380117021345E-3</v>
      </c>
      <c r="H107" s="260">
        <f>('Pivot Table for Data Exchange'!$E$166)*100</f>
        <v>0</v>
      </c>
      <c r="I107" s="266" t="s">
        <v>670</v>
      </c>
      <c r="J107" s="260">
        <f>('Pivot Table for Data Exchange'!$E$169)*100</f>
        <v>29.455654165123523</v>
      </c>
      <c r="K107" s="260">
        <f>('Pivot Table for Data Exchange'!$E$172)*100</f>
        <v>0.88941553164225162</v>
      </c>
      <c r="L107" s="261">
        <f t="shared" ref="L107:L108" si="19">SUM(M107:O107)</f>
        <v>69.654930303234224</v>
      </c>
      <c r="M107" s="260">
        <f>('Pivot Table for Data Exchange'!$E$175)*100</f>
        <v>69.639400825697621</v>
      </c>
      <c r="N107" s="269">
        <f>('Pivot Table for Data Exchange'!$E$178)*100</f>
        <v>1.2705936166317879E-2</v>
      </c>
      <c r="O107" s="268">
        <f>('Pivot Table for Data Exchange'!$E$181)*100</f>
        <v>2.8235413702928625E-3</v>
      </c>
      <c r="P107" s="260">
        <f>('Pivot Table for Data Exchange'!$E$184)*100</f>
        <v>0</v>
      </c>
      <c r="Q107" s="265">
        <f t="shared" si="14"/>
        <v>100</v>
      </c>
      <c r="R107" s="265">
        <f t="shared" si="15"/>
        <v>100</v>
      </c>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row>
    <row r="108" spans="1:41" ht="15.75" customHeight="1">
      <c r="A108" s="231" t="s">
        <v>671</v>
      </c>
      <c r="B108" s="260">
        <f>('Pivot Table for Data Exchange'!$E$187)*100</f>
        <v>71.476379230825899</v>
      </c>
      <c r="C108" s="260">
        <f>('Pivot Table for Data Exchange'!$E$190)*100</f>
        <v>5.7630027682678264</v>
      </c>
      <c r="D108" s="261">
        <f t="shared" si="18"/>
        <v>22.760618000906273</v>
      </c>
      <c r="E108" s="260">
        <f>('Pivot Table for Data Exchange'!$E$193)*100</f>
        <v>21.342137248088132</v>
      </c>
      <c r="F108" s="260">
        <f>('Pivot Table for Data Exchange'!$E$196)*100</f>
        <v>1.411147147446173</v>
      </c>
      <c r="G108" s="267">
        <f>('Pivot Table for Data Exchange'!$E$199)*100</f>
        <v>7.3336053719668557E-3</v>
      </c>
      <c r="H108" s="260">
        <f>('Pivot Table for Data Exchange'!$E$202)*100</f>
        <v>0</v>
      </c>
      <c r="I108" s="266" t="s">
        <v>671</v>
      </c>
      <c r="J108" s="260">
        <f>('Pivot Table for Data Exchange'!$E$205)*100</f>
        <v>36.331841946660418</v>
      </c>
      <c r="K108" s="260">
        <f>('Pivot Table for Data Exchange'!$E$208)*100</f>
        <v>3.5891254457088739</v>
      </c>
      <c r="L108" s="261">
        <f t="shared" si="19"/>
        <v>60.079032607630722</v>
      </c>
      <c r="M108" s="260">
        <f>('Pivot Table for Data Exchange'!$E$211)*100</f>
        <v>59.852801026058202</v>
      </c>
      <c r="N108" s="260">
        <f>('Pivot Table for Data Exchange'!$E$214)*100</f>
        <v>1.7813510360040734E-2</v>
      </c>
      <c r="O108" s="267">
        <f>('Pivot Table for Data Exchange'!$E$217)*100</f>
        <v>0.2084180712124766</v>
      </c>
      <c r="P108" s="260">
        <f>('Pivot Table for Data Exchange'!$E$220)*100</f>
        <v>0</v>
      </c>
      <c r="Q108" s="265">
        <f t="shared" si="14"/>
        <v>100</v>
      </c>
      <c r="R108" s="265">
        <f t="shared" si="15"/>
        <v>100.00000000000001</v>
      </c>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row>
    <row r="109" spans="1:41" ht="15.75" customHeight="1">
      <c r="A109" s="231" t="s">
        <v>672</v>
      </c>
      <c r="B109" s="260">
        <f>('Pivot Table for Data Exchange'!$E$223)*100</f>
        <v>80.049235654900983</v>
      </c>
      <c r="C109" s="260">
        <f>('Pivot Table for Data Exchange'!$E$226)*100</f>
        <v>0</v>
      </c>
      <c r="D109" s="261">
        <f>SUM(E109:G109)</f>
        <v>19.950764345099021</v>
      </c>
      <c r="E109" s="260">
        <f>('Pivot Table for Data Exchange'!$E$229)*100</f>
        <v>19.950764345099021</v>
      </c>
      <c r="F109" s="260">
        <f>('Pivot Table for Data Exchange'!$E$232)*100</f>
        <v>0</v>
      </c>
      <c r="G109" s="268">
        <f>('Pivot Table for Data Exchange'!$E$235)*100</f>
        <v>0</v>
      </c>
      <c r="H109" s="260">
        <f>('Pivot Table for Data Exchange'!$E$238)*100</f>
        <v>0</v>
      </c>
      <c r="I109" s="266" t="s">
        <v>672</v>
      </c>
      <c r="J109" s="260">
        <f>('Pivot Table for Data Exchange'!$E$241)*100</f>
        <v>55.141201916664151</v>
      </c>
      <c r="K109" s="260">
        <f>('Pivot Table for Data Exchange'!$E$244)*100</f>
        <v>0</v>
      </c>
      <c r="L109" s="261">
        <f>SUM(M109:O109)</f>
        <v>44.858798083335856</v>
      </c>
      <c r="M109" s="260">
        <f>('Pivot Table for Data Exchange'!$E$247)*100</f>
        <v>44.858798083335856</v>
      </c>
      <c r="N109" s="260">
        <f>('Pivot Table for Data Exchange'!$E$250)*100</f>
        <v>0</v>
      </c>
      <c r="O109" s="268">
        <f>('Pivot Table for Data Exchange'!$E$253)*100</f>
        <v>0</v>
      </c>
      <c r="P109" s="260">
        <f>('Pivot Table for Data Exchange'!$E$256)*100</f>
        <v>0</v>
      </c>
      <c r="Q109" s="265">
        <f t="shared" si="14"/>
        <v>100</v>
      </c>
      <c r="R109" s="265">
        <f t="shared" si="15"/>
        <v>100</v>
      </c>
      <c r="S109" s="314"/>
      <c r="T109" s="318"/>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row>
    <row r="110" spans="1:41" ht="15.75" customHeight="1">
      <c r="A110" s="231" t="s">
        <v>673</v>
      </c>
      <c r="B110" s="260">
        <f>('Pivot Table for Data Exchange'!$E$259)*100</f>
        <v>84.151036702466683</v>
      </c>
      <c r="C110" s="260">
        <f>('Pivot Table for Data Exchange'!$E$262)*100</f>
        <v>2.1944461383344764</v>
      </c>
      <c r="D110" s="261">
        <f>SUM(E110:G110)</f>
        <v>13.654517159198839</v>
      </c>
      <c r="E110" s="260">
        <f>('Pivot Table for Data Exchange'!$E$265)*100</f>
        <v>13.645495454480905</v>
      </c>
      <c r="F110" s="272">
        <f>('Pivot Table for Data Exchange'!$E$268)*100</f>
        <v>9.0217047179338965E-3</v>
      </c>
      <c r="G110" s="268">
        <f>('Pivot Table for Data Exchange'!$E$271)*100</f>
        <v>0</v>
      </c>
      <c r="H110" s="260">
        <f>('Pivot Table for Data Exchange'!$E$274)*100</f>
        <v>0</v>
      </c>
      <c r="I110" s="266" t="s">
        <v>673</v>
      </c>
      <c r="J110" s="260">
        <f>('Pivot Table for Data Exchange'!$E$277)*100</f>
        <v>65.819849259473997</v>
      </c>
      <c r="K110" s="260">
        <f>('Pivot Table for Data Exchange'!$E$280)*100</f>
        <v>9.5820376324250258</v>
      </c>
      <c r="L110" s="261">
        <f>SUM(M110:O110)</f>
        <v>24.598113108100986</v>
      </c>
      <c r="M110" s="260">
        <f>('Pivot Table for Data Exchange'!$E$283)*100</f>
        <v>24.598113108100986</v>
      </c>
      <c r="N110" s="260">
        <f>('Pivot Table for Data Exchange'!$E$286)*100</f>
        <v>0</v>
      </c>
      <c r="O110" s="268">
        <f>('Pivot Table for Data Exchange'!$E$289)*100</f>
        <v>0</v>
      </c>
      <c r="P110" s="260">
        <f>('Pivot Table for Data Exchange'!$E$292)*100</f>
        <v>0</v>
      </c>
      <c r="Q110" s="265">
        <f t="shared" si="14"/>
        <v>100</v>
      </c>
      <c r="R110" s="265">
        <f t="shared" si="15"/>
        <v>100.00000000000001</v>
      </c>
      <c r="S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row>
    <row r="111" spans="1:41" ht="11.25" customHeight="1">
      <c r="B111" s="260"/>
      <c r="C111" s="260"/>
      <c r="D111" s="261"/>
      <c r="E111" s="260"/>
      <c r="F111" s="260"/>
      <c r="G111" s="268"/>
      <c r="H111" s="260"/>
      <c r="I111" s="266"/>
      <c r="J111" s="260"/>
      <c r="K111" s="260"/>
      <c r="L111" s="261"/>
      <c r="M111" s="260"/>
      <c r="N111" s="260"/>
      <c r="O111" s="268"/>
      <c r="P111" s="260"/>
      <c r="Q111" s="265">
        <f t="shared" si="14"/>
        <v>0</v>
      </c>
      <c r="R111" s="265">
        <f t="shared" si="15"/>
        <v>0</v>
      </c>
      <c r="S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row>
    <row r="112" spans="1:41" ht="15.75" customHeight="1">
      <c r="A112" s="231" t="s">
        <v>674</v>
      </c>
      <c r="B112" s="260">
        <f>('Pivot Table for Data Exchange'!$E$295)*100</f>
        <v>0</v>
      </c>
      <c r="C112" s="260">
        <f>('Pivot Table for Data Exchange'!$E$298)*100</f>
        <v>0</v>
      </c>
      <c r="D112" s="261">
        <f>SUM(E112:G112)</f>
        <v>0</v>
      </c>
      <c r="E112" s="260">
        <f>('Pivot Table for Data Exchange'!$E$301)*100</f>
        <v>0</v>
      </c>
      <c r="F112" s="260">
        <f>('Pivot Table for Data Exchange'!$E$304)*100</f>
        <v>0</v>
      </c>
      <c r="G112" s="268">
        <f>('Pivot Table for Data Exchange'!$E$307)*100</f>
        <v>0</v>
      </c>
      <c r="H112" s="260">
        <f>('Pivot Table for Data Exchange'!$E$310)*100</f>
        <v>0</v>
      </c>
      <c r="I112" s="266" t="s">
        <v>674</v>
      </c>
      <c r="J112" s="260">
        <f>('Pivot Table for Data Exchange'!$E$313)*100</f>
        <v>0</v>
      </c>
      <c r="K112" s="260">
        <f>('Pivot Table for Data Exchange'!$E$316)*100</f>
        <v>0</v>
      </c>
      <c r="L112" s="261">
        <f>SUM(M112:O112)</f>
        <v>0</v>
      </c>
      <c r="M112" s="260">
        <f>('Pivot Table for Data Exchange'!$E$319)*100</f>
        <v>0</v>
      </c>
      <c r="N112" s="260">
        <f>('Pivot Table for Data Exchange'!$E$322)*100</f>
        <v>0</v>
      </c>
      <c r="O112" s="268">
        <f>('Pivot Table for Data Exchange'!$E$325)*100</f>
        <v>0</v>
      </c>
      <c r="P112" s="260">
        <f>('Pivot Table for Data Exchange'!$E$328)*100</f>
        <v>0</v>
      </c>
      <c r="Q112" s="265">
        <f t="shared" si="14"/>
        <v>0</v>
      </c>
      <c r="R112" s="265">
        <f t="shared" si="15"/>
        <v>0</v>
      </c>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row>
    <row r="113" spans="1:41" ht="15.75" customHeight="1">
      <c r="A113" s="231" t="s">
        <v>675</v>
      </c>
      <c r="B113" s="260">
        <f>('Pivot Table for Data Exchange'!$E$331)*100</f>
        <v>81.253524718568983</v>
      </c>
      <c r="C113" s="260">
        <f>('Pivot Table for Data Exchange'!$E$334)*100</f>
        <v>0.76922292251083824</v>
      </c>
      <c r="D113" s="261">
        <f>SUM(E113:G113)</f>
        <v>17.977252358920179</v>
      </c>
      <c r="E113" s="260">
        <f>('Pivot Table for Data Exchange'!$E$337)*100</f>
        <v>17.970432438340193</v>
      </c>
      <c r="F113" s="272">
        <f>('Pivot Table for Data Exchange'!$E$340)*100</f>
        <v>6.8199205799846984E-3</v>
      </c>
      <c r="G113" s="267">
        <f>('Pivot Table for Data Exchange'!$E$343)*100</f>
        <v>0</v>
      </c>
      <c r="H113" s="260">
        <f>('Pivot Table for Data Exchange'!$E$346)*100</f>
        <v>0</v>
      </c>
      <c r="I113" s="266" t="s">
        <v>675</v>
      </c>
      <c r="J113" s="260">
        <f>('Pivot Table for Data Exchange'!$E$349)*100</f>
        <v>51.75353814290645</v>
      </c>
      <c r="K113" s="260">
        <f>('Pivot Table for Data Exchange'!$E$352)*100</f>
        <v>6.4141065470026462</v>
      </c>
      <c r="L113" s="261">
        <f>SUM(M113:O113)</f>
        <v>41.832355310090897</v>
      </c>
      <c r="M113" s="260">
        <f>('Pivot Table for Data Exchange'!$E$355)*100</f>
        <v>41.832355310090897</v>
      </c>
      <c r="N113" s="272">
        <f>('Pivot Table for Data Exchange'!$E$358)*100</f>
        <v>0</v>
      </c>
      <c r="O113" s="268">
        <f>('Pivot Table for Data Exchange'!$E$361)*100</f>
        <v>0</v>
      </c>
      <c r="P113" s="260">
        <f>('Pivot Table for Data Exchange'!$E$364)*100</f>
        <v>0</v>
      </c>
      <c r="Q113" s="265">
        <f t="shared" si="14"/>
        <v>100</v>
      </c>
      <c r="R113" s="265">
        <f t="shared" si="15"/>
        <v>100</v>
      </c>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row>
    <row r="114" spans="1:41" ht="15.75" customHeight="1">
      <c r="A114" s="231" t="s">
        <v>676</v>
      </c>
      <c r="B114" s="260">
        <f>('Pivot Table for Data Exchange'!$E$367)*100</f>
        <v>71.875167537364561</v>
      </c>
      <c r="C114" s="260">
        <f>('Pivot Table for Data Exchange'!$E$370)*100</f>
        <v>0.41718044791796971</v>
      </c>
      <c r="D114" s="261">
        <f>SUM(E114:G114)</f>
        <v>27.707652014717475</v>
      </c>
      <c r="E114" s="260">
        <f>('Pivot Table for Data Exchange'!$E$373)*100</f>
        <v>26.341341371155576</v>
      </c>
      <c r="F114" s="260">
        <f>('Pivot Table for Data Exchange'!$E$376)*100</f>
        <v>0.54942327434032467</v>
      </c>
      <c r="G114" s="268">
        <f>('Pivot Table for Data Exchange'!$E$379)*100</f>
        <v>0.81688736922157434</v>
      </c>
      <c r="H114" s="260">
        <f>('Pivot Table for Data Exchange'!$E$382)*100</f>
        <v>0</v>
      </c>
      <c r="I114" s="266" t="s">
        <v>676</v>
      </c>
      <c r="J114" s="260">
        <f>('Pivot Table for Data Exchange'!$E$385)*100</f>
        <v>73.905429071803852</v>
      </c>
      <c r="K114" s="260">
        <f>('Pivot Table for Data Exchange'!$E$388)*100</f>
        <v>0.26602230153627882</v>
      </c>
      <c r="L114" s="261">
        <f>SUM(M114:O114)</f>
        <v>25.82854862665987</v>
      </c>
      <c r="M114" s="260">
        <f>('Pivot Table for Data Exchange'!$E$391)*100</f>
        <v>20.244297146910817</v>
      </c>
      <c r="N114" s="260">
        <f>('Pivot Table for Data Exchange'!$E$394)*100</f>
        <v>2.1281784122902305</v>
      </c>
      <c r="O114" s="268">
        <f>('Pivot Table for Data Exchange'!$E$397)*100</f>
        <v>3.4560730674588216</v>
      </c>
      <c r="P114" s="260">
        <f>('Pivot Table for Data Exchange'!$E$400)*100</f>
        <v>0</v>
      </c>
      <c r="Q114" s="265">
        <f t="shared" si="14"/>
        <v>100</v>
      </c>
      <c r="R114" s="265">
        <f t="shared" si="15"/>
        <v>100</v>
      </c>
      <c r="S114" s="314"/>
      <c r="T114" s="318"/>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row>
    <row r="115" spans="1:41" ht="15.75" customHeight="1">
      <c r="A115" s="231" t="s">
        <v>677</v>
      </c>
      <c r="B115" s="260">
        <f>('Pivot Table for Data Exchange'!$E$403)*100</f>
        <v>88.320956193482743</v>
      </c>
      <c r="C115" s="260">
        <f>('Pivot Table for Data Exchange'!$E$406)*100</f>
        <v>1.8380290395276084</v>
      </c>
      <c r="D115" s="261">
        <f>SUM(E115:G115)</f>
        <v>9.8410147669896446</v>
      </c>
      <c r="E115" s="260">
        <f>('Pivot Table for Data Exchange'!$E$409)*100</f>
        <v>9.8410147669896446</v>
      </c>
      <c r="F115" s="272">
        <f>('Pivot Table for Data Exchange'!$E$412)*100</f>
        <v>0</v>
      </c>
      <c r="G115" s="268">
        <f>('Pivot Table for Data Exchange'!$E$415)*100</f>
        <v>0</v>
      </c>
      <c r="H115" s="260">
        <f>('Pivot Table for Data Exchange'!$E$418)*100</f>
        <v>0</v>
      </c>
      <c r="I115" s="266" t="s">
        <v>677</v>
      </c>
      <c r="J115" s="260">
        <f>('Pivot Table for Data Exchange'!$E$421)*100</f>
        <v>51.006663997927802</v>
      </c>
      <c r="K115" s="260">
        <f>('Pivot Table for Data Exchange'!$E$424)*100</f>
        <v>8.0250547483928703</v>
      </c>
      <c r="L115" s="261">
        <f>SUM(M115:O115)</f>
        <v>40.968281253679329</v>
      </c>
      <c r="M115" s="260">
        <f>('Pivot Table for Data Exchange'!$E$427)*100</f>
        <v>40.968281253679329</v>
      </c>
      <c r="N115" s="260">
        <f>('Pivot Table for Data Exchange'!$E$430)*100</f>
        <v>0</v>
      </c>
      <c r="O115" s="267">
        <f>('Pivot Table for Data Exchange'!$E$433)*100</f>
        <v>0</v>
      </c>
      <c r="P115" s="260">
        <f>('Pivot Table for Data Exchange'!$E$436)*100</f>
        <v>0</v>
      </c>
      <c r="Q115" s="265">
        <f t="shared" si="14"/>
        <v>100</v>
      </c>
      <c r="R115" s="265">
        <f t="shared" si="15"/>
        <v>100</v>
      </c>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c r="AN115" s="314"/>
      <c r="AO115" s="314"/>
    </row>
    <row r="116" spans="1:41" ht="11.25" customHeight="1">
      <c r="B116" s="260"/>
      <c r="C116" s="260"/>
      <c r="D116" s="261"/>
      <c r="E116" s="260"/>
      <c r="F116" s="260"/>
      <c r="G116" s="268"/>
      <c r="H116" s="260"/>
      <c r="I116" s="266"/>
      <c r="J116" s="260"/>
      <c r="K116" s="260"/>
      <c r="L116" s="261"/>
      <c r="M116" s="260"/>
      <c r="N116" s="260"/>
      <c r="O116" s="268"/>
      <c r="P116" s="260"/>
      <c r="Q116" s="265">
        <f t="shared" si="14"/>
        <v>0</v>
      </c>
      <c r="R116" s="265">
        <f t="shared" si="15"/>
        <v>0</v>
      </c>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row>
    <row r="117" spans="1:41" ht="15.75" customHeight="1">
      <c r="A117" s="231" t="s">
        <v>678</v>
      </c>
      <c r="B117" s="260">
        <f>('Pivot Table for Data Exchange'!$E$439)*100</f>
        <v>66.560160199524987</v>
      </c>
      <c r="C117" s="260">
        <f>('Pivot Table for Data Exchange'!$E$442)*100</f>
        <v>2.4247253685468722</v>
      </c>
      <c r="D117" s="261">
        <f>SUM(E117:G117)</f>
        <v>30.362363460433926</v>
      </c>
      <c r="E117" s="260">
        <f>('Pivot Table for Data Exchange'!$E$445)*100</f>
        <v>20.548072793505089</v>
      </c>
      <c r="F117" s="260">
        <f>('Pivot Table for Data Exchange'!$E$448)*100</f>
        <v>0</v>
      </c>
      <c r="G117" s="268">
        <f>('Pivot Table for Data Exchange'!$E$451)*100</f>
        <v>9.8142906669288354</v>
      </c>
      <c r="H117" s="260">
        <f>('Pivot Table for Data Exchange'!$E$454)*100</f>
        <v>0.65275097149421246</v>
      </c>
      <c r="I117" s="266" t="s">
        <v>678</v>
      </c>
      <c r="J117" s="260">
        <f>('Pivot Table for Data Exchange'!$E$457)*100</f>
        <v>38.557233895693209</v>
      </c>
      <c r="K117" s="260">
        <f>('Pivot Table for Data Exchange'!$E$460)*100</f>
        <v>0.23596641892868037</v>
      </c>
      <c r="L117" s="261">
        <f>SUM(M117:O117)</f>
        <v>58.689824550138852</v>
      </c>
      <c r="M117" s="260">
        <f>('Pivot Table for Data Exchange'!$E$463)*100</f>
        <v>53.739345393839187</v>
      </c>
      <c r="N117" s="260">
        <f>('Pivot Table for Data Exchange'!$E$466)*100</f>
        <v>0</v>
      </c>
      <c r="O117" s="268">
        <f>('Pivot Table for Data Exchange'!$E$469)*100</f>
        <v>4.9504791562996617</v>
      </c>
      <c r="P117" s="260">
        <f>('Pivot Table for Data Exchange'!$E$472)*100</f>
        <v>2.5169751352392571</v>
      </c>
      <c r="Q117" s="265">
        <f t="shared" si="14"/>
        <v>100</v>
      </c>
      <c r="R117" s="265">
        <f t="shared" si="15"/>
        <v>100.00000000000001</v>
      </c>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row>
    <row r="118" spans="1:41" ht="15.75" customHeight="1">
      <c r="A118" s="231" t="s">
        <v>679</v>
      </c>
      <c r="B118" s="260">
        <f>('Pivot Table for Data Exchange'!$E$475)*100</f>
        <v>0</v>
      </c>
      <c r="C118" s="260">
        <f>('Pivot Table for Data Exchange'!$E$478)*100</f>
        <v>0</v>
      </c>
      <c r="D118" s="261">
        <f>SUM(E118:G118)</f>
        <v>0</v>
      </c>
      <c r="E118" s="260">
        <f>('Pivot Table for Data Exchange'!$E$481)*100</f>
        <v>0</v>
      </c>
      <c r="F118" s="260">
        <f>('Pivot Table for Data Exchange'!$E$484)*100</f>
        <v>0</v>
      </c>
      <c r="G118" s="268">
        <f>('Pivot Table for Data Exchange'!$E$487)*100</f>
        <v>0</v>
      </c>
      <c r="H118" s="260">
        <f>('Pivot Table for Data Exchange'!$E$490)*100</f>
        <v>0</v>
      </c>
      <c r="I118" s="266" t="s">
        <v>679</v>
      </c>
      <c r="J118" s="260">
        <f>('Pivot Table for Data Exchange'!$E$493)*100</f>
        <v>0</v>
      </c>
      <c r="K118" s="260">
        <f>('Pivot Table for Data Exchange'!$E$496)*100</f>
        <v>0</v>
      </c>
      <c r="L118" s="261">
        <f>SUM(M118:O118)</f>
        <v>0</v>
      </c>
      <c r="M118" s="260">
        <f>('Pivot Table for Data Exchange'!$E$499)*100</f>
        <v>0</v>
      </c>
      <c r="N118" s="260">
        <f>('Pivot Table for Data Exchange'!$E$502)*100</f>
        <v>0</v>
      </c>
      <c r="O118" s="268">
        <f>('Pivot Table for Data Exchange'!$E$505)*100</f>
        <v>0</v>
      </c>
      <c r="P118" s="260">
        <f>('Pivot Table for Data Exchange'!$E$508)*100</f>
        <v>0</v>
      </c>
      <c r="Q118" s="265">
        <f t="shared" si="14"/>
        <v>0</v>
      </c>
      <c r="R118" s="265">
        <f t="shared" si="15"/>
        <v>0</v>
      </c>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row>
    <row r="119" spans="1:41" ht="15.75" customHeight="1">
      <c r="A119" s="231" t="s">
        <v>680</v>
      </c>
      <c r="B119" s="260">
        <f>('Pivot Table for Data Exchange'!$E$511)*100</f>
        <v>88.212067595306038</v>
      </c>
      <c r="C119" s="260">
        <f>('Pivot Table for Data Exchange'!$E$514)*100</f>
        <v>1.8255491683103893</v>
      </c>
      <c r="D119" s="261">
        <f>SUM(E119:G119)</f>
        <v>9.9623832363835767</v>
      </c>
      <c r="E119" s="260">
        <f>('Pivot Table for Data Exchange'!$E$517)*100</f>
        <v>9.9136972594891812</v>
      </c>
      <c r="F119" s="260">
        <f>('Pivot Table for Data Exchange'!$E$520)*100</f>
        <v>4.8685976894396091E-2</v>
      </c>
      <c r="G119" s="268">
        <f>('Pivot Table for Data Exchange'!$E$523)*100</f>
        <v>0</v>
      </c>
      <c r="H119" s="260">
        <f>('Pivot Table for Data Exchange'!$E$526)*100</f>
        <v>0</v>
      </c>
      <c r="I119" s="266" t="s">
        <v>680</v>
      </c>
      <c r="J119" s="260">
        <f>('Pivot Table for Data Exchange'!$E$529)*100</f>
        <v>55.028776018958325</v>
      </c>
      <c r="K119" s="260">
        <f>('Pivot Table for Data Exchange'!$E$532)*100</f>
        <v>12.975368548478103</v>
      </c>
      <c r="L119" s="261">
        <f>SUM(M119:O119)</f>
        <v>31.995855432563577</v>
      </c>
      <c r="M119" s="260">
        <f>('Pivot Table for Data Exchange'!$E$535)*100</f>
        <v>29.454743170183733</v>
      </c>
      <c r="N119" s="260">
        <f>('Pivot Table for Data Exchange'!$E$538)*100</f>
        <v>2.5411122623798432</v>
      </c>
      <c r="O119" s="268">
        <f>('Pivot Table for Data Exchange'!$E$541)*100</f>
        <v>0</v>
      </c>
      <c r="P119" s="260">
        <f>('Pivot Table for Data Exchange'!$E$544)*100</f>
        <v>0</v>
      </c>
      <c r="Q119" s="265">
        <f t="shared" si="14"/>
        <v>100</v>
      </c>
      <c r="R119" s="265">
        <f t="shared" si="15"/>
        <v>100</v>
      </c>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4"/>
    </row>
    <row r="120" spans="1:41" ht="15.75" customHeight="1">
      <c r="A120" s="237" t="s">
        <v>681</v>
      </c>
      <c r="B120" s="273">
        <f>('Pivot Table for Data Exchange'!$E$547)*100</f>
        <v>70.872691271464276</v>
      </c>
      <c r="C120" s="273">
        <f>('Pivot Table for Data Exchange'!$E$550)*100</f>
        <v>9.744944330833901</v>
      </c>
      <c r="D120" s="274">
        <f>SUM(E120:G120)</f>
        <v>19.382364397701817</v>
      </c>
      <c r="E120" s="273">
        <f>('Pivot Table for Data Exchange'!$E$553)*100</f>
        <v>17.858765864900832</v>
      </c>
      <c r="F120" s="273">
        <f>('Pivot Table for Data Exchange'!$E$556)*100</f>
        <v>1.5235985328009869</v>
      </c>
      <c r="G120" s="275">
        <f>('Pivot Table for Data Exchange'!$E$559)*100</f>
        <v>0</v>
      </c>
      <c r="H120" s="273">
        <f>('Pivot Table for Data Exchange'!$E$562)*100</f>
        <v>0</v>
      </c>
      <c r="I120" s="276" t="s">
        <v>681</v>
      </c>
      <c r="J120" s="273">
        <f>('Pivot Table for Data Exchange'!$E$565)*100</f>
        <v>49.083499899285705</v>
      </c>
      <c r="K120" s="273">
        <f>('Pivot Table for Data Exchange'!$E$568)*100</f>
        <v>18.052650335456079</v>
      </c>
      <c r="L120" s="274">
        <f>SUM(M120:O120)</f>
        <v>32.863849765258216</v>
      </c>
      <c r="M120" s="273">
        <f>('Pivot Table for Data Exchange'!$E$571)*100</f>
        <v>31.467794666790621</v>
      </c>
      <c r="N120" s="273">
        <f>('Pivot Table for Data Exchange'!$E$574)*100</f>
        <v>1.3960550984675932</v>
      </c>
      <c r="O120" s="275">
        <f>('Pivot Table for Data Exchange'!$E$577)*100</f>
        <v>0</v>
      </c>
      <c r="P120" s="273">
        <f>('Pivot Table for Data Exchange'!$E$580)*100</f>
        <v>0</v>
      </c>
      <c r="Q120" s="265">
        <f t="shared" si="14"/>
        <v>100</v>
      </c>
      <c r="R120" s="265">
        <f t="shared" si="15"/>
        <v>100</v>
      </c>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row>
    <row r="121" spans="1:41" s="304" customFormat="1" ht="13.5" customHeight="1">
      <c r="A121" s="279" t="s">
        <v>706</v>
      </c>
      <c r="B121" s="280"/>
      <c r="C121" s="280"/>
      <c r="D121" s="281"/>
      <c r="E121" s="280"/>
      <c r="F121" s="281"/>
      <c r="G121" s="281"/>
      <c r="H121" s="280"/>
      <c r="I121" s="279" t="s">
        <v>706</v>
      </c>
      <c r="J121" s="280"/>
      <c r="K121" s="280"/>
      <c r="L121" s="281"/>
      <c r="M121" s="280"/>
      <c r="N121" s="281"/>
      <c r="O121" s="281"/>
      <c r="P121" s="280"/>
      <c r="Q121" s="265">
        <f t="shared" si="14"/>
        <v>0</v>
      </c>
      <c r="R121" s="265">
        <f t="shared" si="15"/>
        <v>0</v>
      </c>
      <c r="S121" s="317"/>
      <c r="T121" s="317"/>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row>
    <row r="122" spans="1:41" s="304" customFormat="1" ht="26.25" customHeight="1">
      <c r="A122" s="490" t="s">
        <v>712</v>
      </c>
      <c r="B122" s="491"/>
      <c r="C122" s="491"/>
      <c r="D122" s="491"/>
      <c r="E122" s="491"/>
      <c r="F122" s="491"/>
      <c r="G122" s="491"/>
      <c r="H122" s="491"/>
      <c r="I122" s="490" t="s">
        <v>712</v>
      </c>
      <c r="J122" s="491"/>
      <c r="K122" s="491"/>
      <c r="L122" s="491"/>
      <c r="M122" s="491"/>
      <c r="N122" s="491"/>
      <c r="O122" s="491"/>
      <c r="P122" s="491"/>
      <c r="Q122" s="265">
        <f t="shared" si="14"/>
        <v>0</v>
      </c>
      <c r="R122" s="265">
        <f t="shared" si="15"/>
        <v>0</v>
      </c>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row>
    <row r="123" spans="1:41" s="304" customFormat="1" ht="13.5" customHeight="1">
      <c r="A123" s="289"/>
      <c r="B123" s="290"/>
      <c r="C123" s="278"/>
      <c r="D123" s="278"/>
      <c r="E123" s="278"/>
      <c r="F123" s="278"/>
      <c r="G123" s="278"/>
      <c r="H123" s="278"/>
      <c r="I123" s="289"/>
      <c r="J123" s="278"/>
      <c r="K123" s="278"/>
      <c r="L123" s="278"/>
      <c r="M123" s="278"/>
      <c r="N123" s="278"/>
      <c r="O123" s="278"/>
      <c r="P123" s="291"/>
      <c r="Q123" s="265">
        <f t="shared" si="14"/>
        <v>0</v>
      </c>
      <c r="R123" s="265">
        <f t="shared" si="15"/>
        <v>0</v>
      </c>
    </row>
    <row r="124" spans="1:41" s="304" customFormat="1" ht="13.5" customHeight="1">
      <c r="A124" s="278"/>
      <c r="B124" s="278"/>
      <c r="C124" s="278"/>
      <c r="D124" s="278"/>
      <c r="E124" s="278"/>
      <c r="F124" s="278"/>
      <c r="G124" s="278"/>
      <c r="H124" s="284" t="s">
        <v>839</v>
      </c>
      <c r="I124" s="289"/>
      <c r="J124" s="278"/>
      <c r="K124" s="278"/>
      <c r="L124" s="278"/>
      <c r="M124" s="278"/>
      <c r="N124" s="278"/>
      <c r="O124" s="278"/>
      <c r="P124" s="284" t="s">
        <v>839</v>
      </c>
      <c r="Q124" s="265">
        <f t="shared" si="14"/>
        <v>0</v>
      </c>
      <c r="R124" s="265">
        <f t="shared" si="15"/>
        <v>0</v>
      </c>
    </row>
    <row r="125" spans="1:41" ht="18">
      <c r="A125" s="226" t="s">
        <v>713</v>
      </c>
      <c r="B125" s="227"/>
      <c r="C125" s="227"/>
      <c r="D125" s="227"/>
      <c r="E125" s="227"/>
      <c r="F125" s="227"/>
      <c r="G125" s="227"/>
      <c r="H125" s="227"/>
      <c r="I125" s="226" t="s">
        <v>714</v>
      </c>
      <c r="J125" s="228"/>
      <c r="K125" s="228"/>
      <c r="L125" s="227"/>
      <c r="M125" s="228"/>
      <c r="N125" s="228"/>
      <c r="O125" s="228"/>
      <c r="P125" s="228"/>
      <c r="Q125" s="265">
        <f t="shared" si="14"/>
        <v>0</v>
      </c>
      <c r="R125" s="265">
        <f t="shared" si="15"/>
        <v>0</v>
      </c>
    </row>
    <row r="126" spans="1:41" ht="13">
      <c r="A126" s="232"/>
      <c r="B126" s="228"/>
      <c r="C126" s="228"/>
      <c r="D126" s="228"/>
      <c r="E126" s="228"/>
      <c r="F126" s="228"/>
      <c r="G126" s="228"/>
      <c r="H126" s="228"/>
      <c r="I126" s="232"/>
      <c r="J126" s="228"/>
      <c r="K126" s="228"/>
      <c r="L126" s="228"/>
      <c r="M126" s="228"/>
      <c r="N126" s="228"/>
      <c r="O126" s="228"/>
      <c r="P126" s="228"/>
      <c r="Q126" s="265">
        <f t="shared" si="14"/>
        <v>0</v>
      </c>
      <c r="R126" s="265">
        <f t="shared" si="15"/>
        <v>0</v>
      </c>
    </row>
    <row r="127" spans="1:41" ht="15.5">
      <c r="A127" s="234" t="s">
        <v>687</v>
      </c>
      <c r="B127" s="228"/>
      <c r="C127" s="228"/>
      <c r="D127" s="228"/>
      <c r="E127" s="228"/>
      <c r="F127" s="228"/>
      <c r="G127" s="228"/>
      <c r="H127" s="228"/>
      <c r="I127" s="234" t="s">
        <v>688</v>
      </c>
      <c r="J127" s="228"/>
      <c r="K127" s="228"/>
      <c r="L127" s="228"/>
      <c r="M127" s="228"/>
      <c r="N127" s="228"/>
      <c r="O127" s="228"/>
      <c r="P127" s="228"/>
      <c r="Q127" s="265">
        <f t="shared" si="14"/>
        <v>0</v>
      </c>
      <c r="R127" s="265">
        <f t="shared" si="15"/>
        <v>0</v>
      </c>
    </row>
    <row r="128" spans="1:41" ht="15.5">
      <c r="A128" s="234" t="s">
        <v>828</v>
      </c>
      <c r="B128" s="228"/>
      <c r="C128" s="228"/>
      <c r="D128" s="228"/>
      <c r="E128" s="228"/>
      <c r="F128" s="228"/>
      <c r="G128" s="228"/>
      <c r="H128" s="228"/>
      <c r="I128" s="234" t="s">
        <v>828</v>
      </c>
      <c r="J128" s="228"/>
      <c r="K128" s="228"/>
      <c r="L128" s="228"/>
      <c r="M128" s="228"/>
      <c r="N128" s="228"/>
      <c r="O128" s="228"/>
      <c r="P128" s="228"/>
      <c r="Q128" s="265">
        <f t="shared" si="14"/>
        <v>0</v>
      </c>
      <c r="R128" s="265">
        <f t="shared" si="15"/>
        <v>0</v>
      </c>
    </row>
    <row r="129" spans="1:41">
      <c r="A129" s="237"/>
      <c r="B129" s="238"/>
      <c r="C129" s="238"/>
      <c r="D129" s="238"/>
      <c r="E129" s="238"/>
      <c r="F129" s="238"/>
      <c r="G129" s="238"/>
      <c r="H129" s="238"/>
      <c r="I129" s="239"/>
      <c r="L129" s="240"/>
      <c r="P129" s="237"/>
      <c r="Q129" s="265">
        <f t="shared" si="14"/>
        <v>0</v>
      </c>
      <c r="R129" s="265">
        <f t="shared" si="15"/>
        <v>0</v>
      </c>
    </row>
    <row r="130" spans="1:41" s="258" customFormat="1">
      <c r="A130" s="242"/>
      <c r="B130" s="243" t="s">
        <v>689</v>
      </c>
      <c r="C130" s="243"/>
      <c r="D130" s="243"/>
      <c r="E130" s="243"/>
      <c r="F130" s="243"/>
      <c r="G130" s="243"/>
      <c r="H130" s="244"/>
      <c r="I130" s="242"/>
      <c r="J130" s="243" t="s">
        <v>689</v>
      </c>
      <c r="K130" s="243"/>
      <c r="L130" s="243"/>
      <c r="M130" s="243"/>
      <c r="N130" s="243"/>
      <c r="O130" s="243"/>
      <c r="P130" s="244"/>
      <c r="Q130" s="265">
        <f t="shared" si="14"/>
        <v>0</v>
      </c>
      <c r="R130" s="265">
        <f t="shared" si="15"/>
        <v>0</v>
      </c>
    </row>
    <row r="131" spans="1:41" s="258" customFormat="1">
      <c r="A131" s="242"/>
      <c r="B131" s="243" t="s">
        <v>690</v>
      </c>
      <c r="C131" s="243"/>
      <c r="D131" s="485" t="s">
        <v>691</v>
      </c>
      <c r="E131" s="483"/>
      <c r="F131" s="483"/>
      <c r="G131" s="483"/>
      <c r="H131" s="250" t="s">
        <v>581</v>
      </c>
      <c r="I131" s="242"/>
      <c r="J131" s="243" t="s">
        <v>690</v>
      </c>
      <c r="K131" s="243"/>
      <c r="L131" s="485" t="s">
        <v>691</v>
      </c>
      <c r="M131" s="483"/>
      <c r="N131" s="483"/>
      <c r="O131" s="483"/>
      <c r="P131" s="250" t="s">
        <v>581</v>
      </c>
      <c r="Q131" s="265">
        <f t="shared" si="14"/>
        <v>0</v>
      </c>
      <c r="R131" s="265">
        <f t="shared" si="15"/>
        <v>0</v>
      </c>
    </row>
    <row r="132" spans="1:41" s="258" customFormat="1" ht="40.5" customHeight="1">
      <c r="A132" s="242"/>
      <c r="B132" s="251" t="s">
        <v>692</v>
      </c>
      <c r="C132" s="252" t="s">
        <v>693</v>
      </c>
      <c r="D132" s="253" t="s">
        <v>694</v>
      </c>
      <c r="E132" s="254" t="s">
        <v>8</v>
      </c>
      <c r="F132" s="251" t="s">
        <v>695</v>
      </c>
      <c r="G132" s="255" t="s">
        <v>704</v>
      </c>
      <c r="H132" s="256" t="s">
        <v>697</v>
      </c>
      <c r="I132" s="242"/>
      <c r="J132" s="251" t="s">
        <v>692</v>
      </c>
      <c r="K132" s="252" t="s">
        <v>693</v>
      </c>
      <c r="L132" s="253" t="s">
        <v>694</v>
      </c>
      <c r="M132" s="254" t="s">
        <v>8</v>
      </c>
      <c r="N132" s="251" t="s">
        <v>695</v>
      </c>
      <c r="O132" s="255" t="s">
        <v>704</v>
      </c>
      <c r="P132" s="256" t="s">
        <v>697</v>
      </c>
      <c r="Q132" s="265">
        <f t="shared" si="14"/>
        <v>0</v>
      </c>
      <c r="R132" s="265">
        <f t="shared" si="15"/>
        <v>0</v>
      </c>
      <c r="T132" s="257"/>
    </row>
    <row r="133" spans="1:41" ht="15.75" customHeight="1">
      <c r="A133" s="286" t="s">
        <v>666</v>
      </c>
      <c r="B133" s="313">
        <f>('Pivot Table for Data Exchange'!$F$7)*100</f>
        <v>78.955242054725417</v>
      </c>
      <c r="C133" s="260">
        <f>('Pivot Table for Data Exchange'!$F$10)*100</f>
        <v>0.32572581627150488</v>
      </c>
      <c r="D133" s="261">
        <f>SUM(E133:G133)</f>
        <v>20.719032129003079</v>
      </c>
      <c r="E133" s="260">
        <f>('Pivot Table for Data Exchange'!$F$13)*100</f>
        <v>20.719032129003079</v>
      </c>
      <c r="F133" s="260">
        <f>('Pivot Table for Data Exchange'!$F$16)*100</f>
        <v>0</v>
      </c>
      <c r="G133" s="264">
        <f>('Pivot Table for Data Exchange'!$F$19)*100</f>
        <v>0</v>
      </c>
      <c r="H133" s="260">
        <f>('Pivot Table for Data Exchange'!$F$22)*100</f>
        <v>0</v>
      </c>
      <c r="I133" s="263" t="s">
        <v>666</v>
      </c>
      <c r="J133" s="260">
        <f>('Pivot Table for Data Exchange'!$F$25)*100</f>
        <v>64.786591984716253</v>
      </c>
      <c r="K133" s="260">
        <f>('Pivot Table for Data Exchange'!$F$28)*100</f>
        <v>0.37775172593460987</v>
      </c>
      <c r="L133" s="261">
        <f>SUM(M133:O133)</f>
        <v>34.835656289349139</v>
      </c>
      <c r="M133" s="260">
        <f>('Pivot Table for Data Exchange'!$F$31)*100</f>
        <v>34.835656289349139</v>
      </c>
      <c r="N133" s="260">
        <f>('Pivot Table for Data Exchange'!$F$34)*100</f>
        <v>0</v>
      </c>
      <c r="O133" s="264">
        <f>('Pivot Table for Data Exchange'!$F$37)*100</f>
        <v>0</v>
      </c>
      <c r="P133" s="260">
        <f>('Pivot Table for Data Exchange'!$F$40)*100</f>
        <v>0</v>
      </c>
      <c r="Q133" s="265">
        <f t="shared" si="14"/>
        <v>100</v>
      </c>
      <c r="R133" s="265">
        <f t="shared" si="15"/>
        <v>100</v>
      </c>
      <c r="S133" s="314"/>
      <c r="T133" s="314"/>
      <c r="U133" s="314"/>
      <c r="V133" s="314"/>
      <c r="W133" s="314"/>
      <c r="X133" s="314"/>
      <c r="Y133" s="314"/>
      <c r="Z133" s="314"/>
      <c r="AA133" s="314"/>
      <c r="AB133" s="314"/>
      <c r="AC133" s="314"/>
      <c r="AD133" s="314"/>
      <c r="AE133" s="314"/>
      <c r="AF133" s="314"/>
      <c r="AG133" s="314"/>
      <c r="AH133" s="314"/>
      <c r="AI133" s="314"/>
      <c r="AJ133" s="314"/>
      <c r="AK133" s="314"/>
      <c r="AL133" s="314"/>
      <c r="AM133" s="314"/>
      <c r="AN133" s="314"/>
      <c r="AO133" s="314"/>
    </row>
    <row r="134" spans="1:41" ht="15.75" customHeight="1">
      <c r="A134" s="231" t="s">
        <v>667</v>
      </c>
      <c r="B134" s="260">
        <f>('Pivot Table for Data Exchange'!$F$43)*100</f>
        <v>72.370171566554134</v>
      </c>
      <c r="C134" s="260">
        <f>('Pivot Table for Data Exchange'!$F$46)*100</f>
        <v>6.9845505509970236</v>
      </c>
      <c r="D134" s="261">
        <f t="shared" ref="D134:D136" si="20">SUM(E134:G134)</f>
        <v>20.645277882448841</v>
      </c>
      <c r="E134" s="260">
        <f>('Pivot Table for Data Exchange'!$F$49)*100</f>
        <v>20.645277882448841</v>
      </c>
      <c r="F134" s="272">
        <f>('Pivot Table for Data Exchange'!$F$52)*100</f>
        <v>0</v>
      </c>
      <c r="G134" s="268">
        <f>('Pivot Table for Data Exchange'!$F$55)*100</f>
        <v>0</v>
      </c>
      <c r="H134" s="260">
        <f>('Pivot Table for Data Exchange'!$F$58)*100</f>
        <v>0</v>
      </c>
      <c r="I134" s="266" t="s">
        <v>667</v>
      </c>
      <c r="J134" s="260">
        <f>('Pivot Table for Data Exchange'!$F$61)*100</f>
        <v>16.62920636930577</v>
      </c>
      <c r="K134" s="260">
        <f>('Pivot Table for Data Exchange'!$F$64)*100</f>
        <v>2.4470543543638605</v>
      </c>
      <c r="L134" s="261">
        <f t="shared" ref="L134:L136" si="21">SUM(M134:O134)</f>
        <v>80.923739276330366</v>
      </c>
      <c r="M134" s="260">
        <f>('Pivot Table for Data Exchange'!$F$67)*100</f>
        <v>80.923739276330366</v>
      </c>
      <c r="N134" s="260">
        <f>('Pivot Table for Data Exchange'!$F$70)*100</f>
        <v>0</v>
      </c>
      <c r="O134" s="268">
        <f>('Pivot Table for Data Exchange'!$F$73)*100</f>
        <v>0</v>
      </c>
      <c r="P134" s="260">
        <f>('Pivot Table for Data Exchange'!$F$76)*100</f>
        <v>0</v>
      </c>
      <c r="Q134" s="265">
        <f t="shared" si="14"/>
        <v>100</v>
      </c>
      <c r="R134" s="265">
        <f t="shared" si="15"/>
        <v>100</v>
      </c>
      <c r="S134" s="314"/>
      <c r="T134" s="314"/>
      <c r="U134" s="314"/>
      <c r="V134" s="314"/>
      <c r="W134" s="314"/>
      <c r="X134" s="314"/>
      <c r="Y134" s="314"/>
      <c r="Z134" s="314"/>
      <c r="AA134" s="314"/>
      <c r="AB134" s="314"/>
      <c r="AC134" s="314"/>
      <c r="AD134" s="314"/>
      <c r="AE134" s="314"/>
      <c r="AF134" s="314"/>
      <c r="AG134" s="314"/>
      <c r="AH134" s="314"/>
      <c r="AI134" s="314"/>
      <c r="AJ134" s="314"/>
      <c r="AK134" s="314"/>
      <c r="AL134" s="314"/>
      <c r="AM134" s="314"/>
      <c r="AN134" s="314"/>
      <c r="AO134" s="314"/>
    </row>
    <row r="135" spans="1:41" ht="15.75" customHeight="1">
      <c r="A135" s="231" t="s">
        <v>668</v>
      </c>
      <c r="B135" s="260">
        <f>('Pivot Table for Data Exchange'!$F$79)*100</f>
        <v>0</v>
      </c>
      <c r="C135" s="260">
        <f>('Pivot Table for Data Exchange'!$F$82)*100</f>
        <v>0</v>
      </c>
      <c r="D135" s="261">
        <f t="shared" si="20"/>
        <v>0</v>
      </c>
      <c r="E135" s="260">
        <f>('Pivot Table for Data Exchange'!$F$85)*100</f>
        <v>0</v>
      </c>
      <c r="F135" s="260">
        <f>('Pivot Table for Data Exchange'!$F$88)*100</f>
        <v>0</v>
      </c>
      <c r="G135" s="268">
        <f>('Pivot Table for Data Exchange'!$F$91)*100</f>
        <v>0</v>
      </c>
      <c r="H135" s="260">
        <f>('Pivot Table for Data Exchange'!$F$94)*100</f>
        <v>0</v>
      </c>
      <c r="I135" s="266" t="s">
        <v>668</v>
      </c>
      <c r="J135" s="260">
        <f>('Pivot Table for Data Exchange'!$F$97)*100</f>
        <v>0</v>
      </c>
      <c r="K135" s="260">
        <f>('Pivot Table for Data Exchange'!$F$100)*100</f>
        <v>0</v>
      </c>
      <c r="L135" s="261">
        <f t="shared" si="21"/>
        <v>0</v>
      </c>
      <c r="M135" s="260">
        <f>('Pivot Table for Data Exchange'!$F$103)*100</f>
        <v>0</v>
      </c>
      <c r="N135" s="260">
        <f>('Pivot Table for Data Exchange'!$F$106)*100</f>
        <v>0</v>
      </c>
      <c r="O135" s="268">
        <f>('Pivot Table for Data Exchange'!$F$109)*100</f>
        <v>0</v>
      </c>
      <c r="P135" s="260">
        <f>('Pivot Table for Data Exchange'!$F$112)*100</f>
        <v>0</v>
      </c>
      <c r="Q135" s="265">
        <f t="shared" si="14"/>
        <v>0</v>
      </c>
      <c r="R135" s="265">
        <f t="shared" si="15"/>
        <v>0</v>
      </c>
      <c r="S135" s="314"/>
      <c r="T135" s="318"/>
      <c r="U135" s="314"/>
      <c r="V135" s="314"/>
      <c r="W135" s="314"/>
      <c r="X135" s="314"/>
      <c r="Y135" s="314"/>
      <c r="Z135" s="314"/>
      <c r="AA135" s="314"/>
      <c r="AB135" s="314"/>
      <c r="AC135" s="314"/>
      <c r="AD135" s="314"/>
      <c r="AE135" s="314"/>
      <c r="AF135" s="314"/>
      <c r="AG135" s="314"/>
      <c r="AH135" s="314"/>
      <c r="AI135" s="314"/>
      <c r="AJ135" s="314"/>
      <c r="AK135" s="314"/>
      <c r="AL135" s="314"/>
      <c r="AM135" s="314"/>
      <c r="AN135" s="314"/>
      <c r="AO135" s="314"/>
    </row>
    <row r="136" spans="1:41" ht="15.75" customHeight="1">
      <c r="A136" s="231" t="s">
        <v>705</v>
      </c>
      <c r="B136" s="260">
        <f>('Pivot Table for Data Exchange'!$F$115)*100</f>
        <v>0</v>
      </c>
      <c r="C136" s="260">
        <f>('Pivot Table for Data Exchange'!$F$118)*100</f>
        <v>0</v>
      </c>
      <c r="D136" s="261">
        <f t="shared" si="20"/>
        <v>0</v>
      </c>
      <c r="E136" s="260">
        <f>('Pivot Table for Data Exchange'!$F$121)*100</f>
        <v>0</v>
      </c>
      <c r="F136" s="269">
        <f>('Pivot Table for Data Exchange'!$F$124)*100</f>
        <v>0</v>
      </c>
      <c r="G136" s="271">
        <f>('Pivot Table for Data Exchange'!$F$127)*100</f>
        <v>0</v>
      </c>
      <c r="H136" s="260">
        <f>('Pivot Table for Data Exchange'!$F$130)*100</f>
        <v>0</v>
      </c>
      <c r="I136" s="266" t="s">
        <v>705</v>
      </c>
      <c r="J136" s="260">
        <f>('Pivot Table for Data Exchange'!$F$133)*100</f>
        <v>0</v>
      </c>
      <c r="K136" s="260">
        <f>('Pivot Table for Data Exchange'!$F$136)*100</f>
        <v>0</v>
      </c>
      <c r="L136" s="261">
        <f t="shared" si="21"/>
        <v>0</v>
      </c>
      <c r="M136" s="260">
        <f>('Pivot Table for Data Exchange'!$F$139)*100</f>
        <v>0</v>
      </c>
      <c r="N136" s="260">
        <f>('Pivot Table for Data Exchange'!$F$142)*100</f>
        <v>0</v>
      </c>
      <c r="O136" s="268">
        <f>('Pivot Table for Data Exchange'!$F$145)*100</f>
        <v>0</v>
      </c>
      <c r="P136" s="260">
        <f>('Pivot Table for Data Exchange'!$F$148)*100</f>
        <v>0</v>
      </c>
      <c r="Q136" s="265">
        <f t="shared" si="14"/>
        <v>0</v>
      </c>
      <c r="R136" s="265">
        <f t="shared" si="15"/>
        <v>0</v>
      </c>
      <c r="S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row>
    <row r="137" spans="1:41" ht="15.75" customHeight="1">
      <c r="B137" s="260"/>
      <c r="C137" s="260"/>
      <c r="D137" s="261"/>
      <c r="E137" s="260"/>
      <c r="F137" s="260"/>
      <c r="G137" s="268"/>
      <c r="H137" s="260"/>
      <c r="I137" s="266"/>
      <c r="J137" s="260"/>
      <c r="K137" s="260"/>
      <c r="L137" s="261"/>
      <c r="M137" s="260"/>
      <c r="N137" s="260"/>
      <c r="O137" s="268"/>
      <c r="P137" s="260"/>
      <c r="Q137" s="265">
        <f t="shared" si="14"/>
        <v>0</v>
      </c>
      <c r="R137" s="265">
        <f t="shared" si="15"/>
        <v>0</v>
      </c>
      <c r="S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row>
    <row r="138" spans="1:41" ht="15.75" customHeight="1">
      <c r="A138" s="231" t="s">
        <v>670</v>
      </c>
      <c r="B138" s="260">
        <f>('Pivot Table for Data Exchange'!$F$151)*100</f>
        <v>77.148085517402507</v>
      </c>
      <c r="C138" s="260">
        <f>('Pivot Table for Data Exchange'!$F$154)*100</f>
        <v>1.8932556817615205</v>
      </c>
      <c r="D138" s="261">
        <f t="shared" ref="D138:D139" si="22">SUM(E138:G138)</f>
        <v>20.95865880083597</v>
      </c>
      <c r="E138" s="260">
        <f>('Pivot Table for Data Exchange'!$F$157)*100</f>
        <v>20.853948847406969</v>
      </c>
      <c r="F138" s="272">
        <f>('Pivot Table for Data Exchange'!$F$160)*100</f>
        <v>4.6300319543436108E-3</v>
      </c>
      <c r="G138" s="268">
        <f>('Pivot Table for Data Exchange'!$F$163)*100</f>
        <v>0.10007992147465805</v>
      </c>
      <c r="H138" s="269">
        <f>('Pivot Table for Data Exchange'!$F$166)*100</f>
        <v>0</v>
      </c>
      <c r="I138" s="266" t="s">
        <v>670</v>
      </c>
      <c r="J138" s="260">
        <f>('Pivot Table for Data Exchange'!$F$169)*100</f>
        <v>70.991758850671985</v>
      </c>
      <c r="K138" s="260">
        <f>('Pivot Table for Data Exchange'!$F$172)*100</f>
        <v>5.0209219072182263</v>
      </c>
      <c r="L138" s="261">
        <f t="shared" ref="L138:L139" si="23">SUM(M138:O138)</f>
        <v>23.987319242109788</v>
      </c>
      <c r="M138" s="260">
        <f>('Pivot Table for Data Exchange'!$F$175)*100</f>
        <v>23.967841383062321</v>
      </c>
      <c r="N138" s="269">
        <f>('Pivot Table for Data Exchange'!$F$178)*100</f>
        <v>0</v>
      </c>
      <c r="O138" s="268">
        <f>('Pivot Table for Data Exchange'!$F$181)*100</f>
        <v>1.9477859047465528E-2</v>
      </c>
      <c r="P138" s="260">
        <f>('Pivot Table for Data Exchange'!$F$184)*100</f>
        <v>0</v>
      </c>
      <c r="Q138" s="265">
        <f t="shared" si="14"/>
        <v>100</v>
      </c>
      <c r="R138" s="265">
        <f t="shared" si="15"/>
        <v>100</v>
      </c>
      <c r="S138" s="314"/>
      <c r="T138" s="314"/>
      <c r="U138" s="314"/>
      <c r="V138" s="314"/>
      <c r="W138" s="314"/>
      <c r="X138" s="314"/>
      <c r="Y138" s="314"/>
      <c r="Z138" s="314"/>
      <c r="AA138" s="314"/>
      <c r="AB138" s="314"/>
      <c r="AC138" s="314"/>
      <c r="AD138" s="314"/>
      <c r="AE138" s="314"/>
      <c r="AF138" s="314"/>
      <c r="AG138" s="314"/>
      <c r="AH138" s="314"/>
      <c r="AI138" s="314"/>
      <c r="AJ138" s="314"/>
      <c r="AK138" s="314"/>
      <c r="AL138" s="314"/>
      <c r="AM138" s="314"/>
      <c r="AN138" s="314"/>
      <c r="AO138" s="314"/>
    </row>
    <row r="139" spans="1:41" ht="15.75" customHeight="1">
      <c r="A139" s="231" t="s">
        <v>671</v>
      </c>
      <c r="B139" s="260">
        <f>('Pivot Table for Data Exchange'!$F$187)*100</f>
        <v>64.75233868366314</v>
      </c>
      <c r="C139" s="260">
        <f>('Pivot Table for Data Exchange'!$F$190)*100</f>
        <v>0</v>
      </c>
      <c r="D139" s="261">
        <f t="shared" si="22"/>
        <v>35.24766131633686</v>
      </c>
      <c r="E139" s="260">
        <f>('Pivot Table for Data Exchange'!$F$193)*100</f>
        <v>35.243211977619829</v>
      </c>
      <c r="F139" s="260">
        <f>('Pivot Table for Data Exchange'!$F$196)*100</f>
        <v>4.4493387170331808E-3</v>
      </c>
      <c r="G139" s="271">
        <f>('Pivot Table for Data Exchange'!$F$199)*100</f>
        <v>0</v>
      </c>
      <c r="H139" s="260">
        <f>('Pivot Table for Data Exchange'!$F$202)*100</f>
        <v>0</v>
      </c>
      <c r="I139" s="266" t="s">
        <v>671</v>
      </c>
      <c r="J139" s="260">
        <f>('Pivot Table for Data Exchange'!$F$205)*100</f>
        <v>72.528433945756774</v>
      </c>
      <c r="K139" s="260">
        <f>('Pivot Table for Data Exchange'!$F$208)*100</f>
        <v>0</v>
      </c>
      <c r="L139" s="261">
        <f t="shared" si="23"/>
        <v>27.471566054243219</v>
      </c>
      <c r="M139" s="260">
        <f>('Pivot Table for Data Exchange'!$F$211)*100</f>
        <v>27.471566054243219</v>
      </c>
      <c r="N139" s="260">
        <f>('Pivot Table for Data Exchange'!$F$214)*100</f>
        <v>0</v>
      </c>
      <c r="O139" s="268">
        <f>('Pivot Table for Data Exchange'!$F$217)*100</f>
        <v>0</v>
      </c>
      <c r="P139" s="260">
        <f>('Pivot Table for Data Exchange'!$F$220)*100</f>
        <v>0</v>
      </c>
      <c r="Q139" s="265">
        <f t="shared" si="14"/>
        <v>100</v>
      </c>
      <c r="R139" s="265">
        <f t="shared" si="15"/>
        <v>100</v>
      </c>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row>
    <row r="140" spans="1:41" ht="15.75" customHeight="1">
      <c r="A140" s="231" t="s">
        <v>672</v>
      </c>
      <c r="B140" s="260">
        <f>('Pivot Table for Data Exchange'!$F$223)*100</f>
        <v>71.406043246528881</v>
      </c>
      <c r="C140" s="260">
        <f>('Pivot Table for Data Exchange'!$F$226)*100</f>
        <v>0</v>
      </c>
      <c r="D140" s="261">
        <f>SUM(E140:G140)</f>
        <v>28.593956753471122</v>
      </c>
      <c r="E140" s="260">
        <f>('Pivot Table for Data Exchange'!$F$229)*100</f>
        <v>28.593956753471122</v>
      </c>
      <c r="F140" s="260">
        <f>('Pivot Table for Data Exchange'!$F$232)*100</f>
        <v>0</v>
      </c>
      <c r="G140" s="268">
        <f>('Pivot Table for Data Exchange'!$F$235)*100</f>
        <v>0</v>
      </c>
      <c r="H140" s="260">
        <f>('Pivot Table for Data Exchange'!$F$238)*100</f>
        <v>0</v>
      </c>
      <c r="I140" s="266" t="s">
        <v>672</v>
      </c>
      <c r="J140" s="260">
        <f>('Pivot Table for Data Exchange'!$F$241)*100</f>
        <v>31.247243681149843</v>
      </c>
      <c r="K140" s="260">
        <f>('Pivot Table for Data Exchange'!$F$244)*100</f>
        <v>0</v>
      </c>
      <c r="L140" s="261">
        <f>SUM(M140:O140)</f>
        <v>68.75275631885016</v>
      </c>
      <c r="M140" s="260">
        <f>('Pivot Table for Data Exchange'!$F$247)*100</f>
        <v>68.75275631885016</v>
      </c>
      <c r="N140" s="260">
        <f>('Pivot Table for Data Exchange'!$F$250)*100</f>
        <v>0</v>
      </c>
      <c r="O140" s="268">
        <f>('Pivot Table for Data Exchange'!$F$253)*100</f>
        <v>0</v>
      </c>
      <c r="P140" s="260">
        <f>('Pivot Table for Data Exchange'!$F$256)*100</f>
        <v>0</v>
      </c>
      <c r="Q140" s="265">
        <f t="shared" si="14"/>
        <v>100</v>
      </c>
      <c r="R140" s="265">
        <f t="shared" si="15"/>
        <v>100</v>
      </c>
      <c r="S140" s="314"/>
      <c r="T140" s="318"/>
      <c r="U140" s="314"/>
      <c r="V140" s="314"/>
      <c r="W140" s="314"/>
      <c r="X140" s="314"/>
      <c r="Y140" s="314"/>
      <c r="Z140" s="314"/>
      <c r="AA140" s="314"/>
      <c r="AB140" s="314"/>
      <c r="AC140" s="314"/>
      <c r="AD140" s="314"/>
      <c r="AE140" s="314"/>
      <c r="AF140" s="314"/>
      <c r="AG140" s="314"/>
      <c r="AH140" s="314"/>
      <c r="AI140" s="314"/>
      <c r="AJ140" s="314"/>
      <c r="AK140" s="314"/>
      <c r="AL140" s="314"/>
      <c r="AM140" s="314"/>
      <c r="AN140" s="314"/>
      <c r="AO140" s="314"/>
    </row>
    <row r="141" spans="1:41" ht="15.75" customHeight="1">
      <c r="A141" s="231" t="s">
        <v>673</v>
      </c>
      <c r="B141" s="260">
        <f>('Pivot Table for Data Exchange'!$F$259)*100</f>
        <v>80.560889049240984</v>
      </c>
      <c r="C141" s="260">
        <f>('Pivot Table for Data Exchange'!$F$262)*100</f>
        <v>1.1455153702853653</v>
      </c>
      <c r="D141" s="261">
        <f>SUM(E141:G141)</f>
        <v>18.293595580473639</v>
      </c>
      <c r="E141" s="260">
        <f>('Pivot Table for Data Exchange'!$F$265)*100</f>
        <v>16.864179581659609</v>
      </c>
      <c r="F141" s="260">
        <f>('Pivot Table for Data Exchange'!$F$268)*100</f>
        <v>1.4294159988140294</v>
      </c>
      <c r="G141" s="268">
        <f>('Pivot Table for Data Exchange'!$F$271)*100</f>
        <v>0</v>
      </c>
      <c r="H141" s="260">
        <f>('Pivot Table for Data Exchange'!$F$274)*100</f>
        <v>0</v>
      </c>
      <c r="I141" s="266" t="s">
        <v>673</v>
      </c>
      <c r="J141" s="260">
        <f>('Pivot Table for Data Exchange'!$F$277)*100</f>
        <v>56.095091840323953</v>
      </c>
      <c r="K141" s="260">
        <f>('Pivot Table for Data Exchange'!$F$280)*100</f>
        <v>3.4677121850361612</v>
      </c>
      <c r="L141" s="261">
        <f>SUM(M141:O141)</f>
        <v>40.437195974639891</v>
      </c>
      <c r="M141" s="260">
        <f>('Pivot Table for Data Exchange'!$F$283)*100</f>
        <v>35.06661747925979</v>
      </c>
      <c r="N141" s="260">
        <f>('Pivot Table for Data Exchange'!$F$286)*100</f>
        <v>5.3705784953801015</v>
      </c>
      <c r="O141" s="268">
        <f>('Pivot Table for Data Exchange'!$F$289)*100</f>
        <v>0</v>
      </c>
      <c r="P141" s="260">
        <f>('Pivot Table for Data Exchange'!$F$292)*100</f>
        <v>0</v>
      </c>
      <c r="Q141" s="265">
        <f t="shared" si="14"/>
        <v>99.999999999999986</v>
      </c>
      <c r="R141" s="265">
        <f t="shared" si="15"/>
        <v>100</v>
      </c>
      <c r="S141" s="314"/>
      <c r="U141" s="314"/>
      <c r="V141" s="314"/>
      <c r="W141" s="314"/>
      <c r="X141" s="314"/>
      <c r="Y141" s="314"/>
      <c r="Z141" s="314"/>
      <c r="AA141" s="314"/>
      <c r="AB141" s="314"/>
      <c r="AC141" s="314"/>
      <c r="AD141" s="314"/>
      <c r="AE141" s="314"/>
      <c r="AF141" s="314"/>
      <c r="AG141" s="314"/>
      <c r="AH141" s="314"/>
      <c r="AI141" s="314"/>
      <c r="AJ141" s="314"/>
      <c r="AK141" s="314"/>
      <c r="AL141" s="314"/>
      <c r="AM141" s="314"/>
      <c r="AN141" s="314"/>
      <c r="AO141" s="314"/>
    </row>
    <row r="142" spans="1:41" ht="15.75" customHeight="1">
      <c r="B142" s="260"/>
      <c r="C142" s="260"/>
      <c r="D142" s="261"/>
      <c r="E142" s="260"/>
      <c r="F142" s="260"/>
      <c r="G142" s="268"/>
      <c r="H142" s="260"/>
      <c r="I142" s="266"/>
      <c r="J142" s="260"/>
      <c r="K142" s="260"/>
      <c r="L142" s="261"/>
      <c r="M142" s="260"/>
      <c r="N142" s="260"/>
      <c r="O142" s="268"/>
      <c r="P142" s="260"/>
      <c r="Q142" s="265">
        <f t="shared" si="14"/>
        <v>0</v>
      </c>
      <c r="R142" s="265">
        <f t="shared" si="15"/>
        <v>0</v>
      </c>
      <c r="S142" s="314"/>
      <c r="U142" s="314"/>
      <c r="V142" s="314"/>
      <c r="W142" s="314"/>
      <c r="X142" s="314"/>
      <c r="Y142" s="314"/>
      <c r="Z142" s="314"/>
      <c r="AA142" s="314"/>
      <c r="AB142" s="314"/>
      <c r="AC142" s="314"/>
      <c r="AD142" s="314"/>
      <c r="AE142" s="314"/>
      <c r="AF142" s="314"/>
      <c r="AG142" s="314"/>
      <c r="AH142" s="314"/>
      <c r="AI142" s="314"/>
      <c r="AJ142" s="314"/>
      <c r="AK142" s="314"/>
      <c r="AL142" s="314"/>
      <c r="AM142" s="314"/>
      <c r="AN142" s="314"/>
      <c r="AO142" s="314"/>
    </row>
    <row r="143" spans="1:41" ht="15.75" customHeight="1">
      <c r="A143" s="231" t="s">
        <v>674</v>
      </c>
      <c r="B143" s="260">
        <f>('Pivot Table for Data Exchange'!$F$295)*100</f>
        <v>60.465980031433233</v>
      </c>
      <c r="C143" s="260">
        <f>('Pivot Table for Data Exchange'!$F$298)*100</f>
        <v>3.4156352452470133</v>
      </c>
      <c r="D143" s="261">
        <f>SUM(E143:G143)</f>
        <v>35.827713275786472</v>
      </c>
      <c r="E143" s="260">
        <f>('Pivot Table for Data Exchange'!$F$301)*100</f>
        <v>35.816479596654752</v>
      </c>
      <c r="F143" s="260">
        <f>('Pivot Table for Data Exchange'!$F$304)*100</f>
        <v>0</v>
      </c>
      <c r="G143" s="267">
        <f>('Pivot Table for Data Exchange'!$F$307)*100</f>
        <v>1.1233679131720855E-2</v>
      </c>
      <c r="H143" s="260">
        <f>('Pivot Table for Data Exchange'!$F$310)*100</f>
        <v>0.29067144753327712</v>
      </c>
      <c r="I143" s="266" t="s">
        <v>674</v>
      </c>
      <c r="J143" s="260">
        <f>('Pivot Table for Data Exchange'!$F$313)*100</f>
        <v>23.4896070399029</v>
      </c>
      <c r="K143" s="260">
        <f>('Pivot Table for Data Exchange'!$F$316)*100</f>
        <v>1.0104688211197086</v>
      </c>
      <c r="L143" s="261">
        <f>SUM(M143:O143)</f>
        <v>75.345167652859956</v>
      </c>
      <c r="M143" s="260">
        <f>('Pivot Table for Data Exchange'!$F$319)*100</f>
        <v>75.299651039296009</v>
      </c>
      <c r="N143" s="260">
        <f>('Pivot Table for Data Exchange'!$F$322)*100</f>
        <v>0</v>
      </c>
      <c r="O143" s="268">
        <f>('Pivot Table for Data Exchange'!$F$325)*100</f>
        <v>4.5516613563950842E-2</v>
      </c>
      <c r="P143" s="260">
        <f>('Pivot Table for Data Exchange'!$F$328)*100</f>
        <v>0.15475648611743287</v>
      </c>
      <c r="Q143" s="265">
        <f t="shared" si="14"/>
        <v>99.999999999999986</v>
      </c>
      <c r="R143" s="265">
        <f t="shared" si="15"/>
        <v>100</v>
      </c>
      <c r="S143" s="314"/>
      <c r="T143" s="314"/>
      <c r="U143" s="314"/>
      <c r="V143" s="314"/>
      <c r="W143" s="314"/>
      <c r="X143" s="314"/>
      <c r="Y143" s="314"/>
      <c r="Z143" s="314"/>
      <c r="AA143" s="314"/>
      <c r="AB143" s="314"/>
      <c r="AC143" s="314"/>
      <c r="AD143" s="314"/>
      <c r="AE143" s="314"/>
      <c r="AF143" s="314"/>
      <c r="AG143" s="314"/>
      <c r="AH143" s="314"/>
      <c r="AI143" s="314"/>
      <c r="AJ143" s="314"/>
      <c r="AK143" s="314"/>
      <c r="AL143" s="314"/>
      <c r="AM143" s="314"/>
      <c r="AN143" s="314"/>
      <c r="AO143" s="314"/>
    </row>
    <row r="144" spans="1:41" ht="15.75" customHeight="1">
      <c r="A144" s="231" t="s">
        <v>675</v>
      </c>
      <c r="B144" s="260">
        <f>('Pivot Table for Data Exchange'!$F$331)*100</f>
        <v>54.717383339439763</v>
      </c>
      <c r="C144" s="260">
        <f>('Pivot Table for Data Exchange'!$F$334)*100</f>
        <v>0.32441794624121506</v>
      </c>
      <c r="D144" s="261">
        <f>SUM(E144:G144)</f>
        <v>44.958198714319018</v>
      </c>
      <c r="E144" s="260">
        <f>('Pivot Table for Data Exchange'!$F$337)*100</f>
        <v>44.958198714319018</v>
      </c>
      <c r="F144" s="260">
        <f>('Pivot Table for Data Exchange'!$F$340)*100</f>
        <v>0</v>
      </c>
      <c r="G144" s="268">
        <f>('Pivot Table for Data Exchange'!$F$343)*100</f>
        <v>0</v>
      </c>
      <c r="H144" s="260">
        <f>('Pivot Table for Data Exchange'!$F$346)*100</f>
        <v>0</v>
      </c>
      <c r="I144" s="266" t="s">
        <v>675</v>
      </c>
      <c r="J144" s="260">
        <f>('Pivot Table for Data Exchange'!$F$349)*100</f>
        <v>33.289161668294042</v>
      </c>
      <c r="K144" s="260">
        <f>('Pivot Table for Data Exchange'!$F$352)*100</f>
        <v>0</v>
      </c>
      <c r="L144" s="261">
        <f>SUM(M144:O144)</f>
        <v>66.710838331705958</v>
      </c>
      <c r="M144" s="260">
        <f>('Pivot Table for Data Exchange'!$F$355)*100</f>
        <v>66.710838331705958</v>
      </c>
      <c r="N144" s="260">
        <f>('Pivot Table for Data Exchange'!$F$358)*100</f>
        <v>0</v>
      </c>
      <c r="O144" s="268">
        <f>('Pivot Table for Data Exchange'!$F$361)*100</f>
        <v>0</v>
      </c>
      <c r="P144" s="260">
        <f>('Pivot Table for Data Exchange'!$F$364)*100</f>
        <v>0</v>
      </c>
      <c r="Q144" s="265">
        <f t="shared" si="14"/>
        <v>100</v>
      </c>
      <c r="R144" s="265">
        <f t="shared" si="15"/>
        <v>100</v>
      </c>
      <c r="S144" s="314"/>
      <c r="T144" s="314"/>
      <c r="U144" s="314"/>
      <c r="V144" s="314"/>
      <c r="W144" s="314"/>
      <c r="X144" s="314"/>
      <c r="Y144" s="314"/>
      <c r="Z144" s="314"/>
      <c r="AA144" s="314"/>
      <c r="AB144" s="314"/>
      <c r="AC144" s="314"/>
      <c r="AD144" s="314"/>
      <c r="AE144" s="314"/>
      <c r="AF144" s="314"/>
      <c r="AG144" s="314"/>
      <c r="AH144" s="314"/>
      <c r="AI144" s="314"/>
      <c r="AJ144" s="314"/>
      <c r="AK144" s="314"/>
      <c r="AL144" s="314"/>
      <c r="AM144" s="314"/>
      <c r="AN144" s="314"/>
      <c r="AO144" s="314"/>
    </row>
    <row r="145" spans="1:41" ht="15.75" customHeight="1">
      <c r="A145" s="231" t="s">
        <v>676</v>
      </c>
      <c r="B145" s="260">
        <f>('Pivot Table for Data Exchange'!$F$367)*100</f>
        <v>65.241141632809814</v>
      </c>
      <c r="C145" s="260">
        <f>('Pivot Table for Data Exchange'!$F$370)*100</f>
        <v>1.0475410830149778</v>
      </c>
      <c r="D145" s="261">
        <f>SUM(E145:G145)</f>
        <v>33.711317284175202</v>
      </c>
      <c r="E145" s="260">
        <f>('Pivot Table for Data Exchange'!$F$373)*100</f>
        <v>32.562205647524912</v>
      </c>
      <c r="F145" s="260">
        <f>('Pivot Table for Data Exchange'!$F$376)*100</f>
        <v>0.88836334970590014</v>
      </c>
      <c r="G145" s="268">
        <f>('Pivot Table for Data Exchange'!$F$379)*100</f>
        <v>0.26074828694439389</v>
      </c>
      <c r="H145" s="260">
        <f>('Pivot Table for Data Exchange'!$F$382)*100</f>
        <v>0</v>
      </c>
      <c r="I145" s="266" t="s">
        <v>676</v>
      </c>
      <c r="J145" s="260">
        <f>('Pivot Table for Data Exchange'!$F$385)*100</f>
        <v>19.735358980641998</v>
      </c>
      <c r="K145" s="260">
        <f>('Pivot Table for Data Exchange'!$F$388)*100</f>
        <v>2.1538838519970596</v>
      </c>
      <c r="L145" s="261">
        <f>SUM(M145:O145)</f>
        <v>78.110757167360944</v>
      </c>
      <c r="M145" s="260">
        <f>('Pivot Table for Data Exchange'!$F$391)*100</f>
        <v>78.110757167360944</v>
      </c>
      <c r="N145" s="260">
        <f>('Pivot Table for Data Exchange'!$F$394)*100</f>
        <v>0</v>
      </c>
      <c r="O145" s="268">
        <f>('Pivot Table for Data Exchange'!$F$397)*100</f>
        <v>0</v>
      </c>
      <c r="P145" s="260">
        <f>('Pivot Table for Data Exchange'!$F$400)*100</f>
        <v>0</v>
      </c>
      <c r="Q145" s="265">
        <f t="shared" si="14"/>
        <v>100</v>
      </c>
      <c r="R145" s="265">
        <f t="shared" si="15"/>
        <v>100</v>
      </c>
      <c r="S145" s="314"/>
      <c r="T145" s="318"/>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row>
    <row r="146" spans="1:41" ht="15.75" customHeight="1">
      <c r="A146" s="231" t="s">
        <v>677</v>
      </c>
      <c r="B146" s="260">
        <f>('Pivot Table for Data Exchange'!$F$403)*100</f>
        <v>80.579543735647192</v>
      </c>
      <c r="C146" s="260">
        <f>('Pivot Table for Data Exchange'!$F$406)*100</f>
        <v>0.82747761994472024</v>
      </c>
      <c r="D146" s="261">
        <f>SUM(E146:G146)</f>
        <v>18.592978644408081</v>
      </c>
      <c r="E146" s="260">
        <f>('Pivot Table for Data Exchange'!$F$409)*100</f>
        <v>18.592978644408081</v>
      </c>
      <c r="F146" s="260">
        <f>('Pivot Table for Data Exchange'!$F$412)*100</f>
        <v>0</v>
      </c>
      <c r="G146" s="268">
        <f>('Pivot Table for Data Exchange'!$F$415)*100</f>
        <v>0</v>
      </c>
      <c r="H146" s="260">
        <f>('Pivot Table for Data Exchange'!$F$418)*100</f>
        <v>0</v>
      </c>
      <c r="I146" s="266" t="s">
        <v>677</v>
      </c>
      <c r="J146" s="260">
        <f>('Pivot Table for Data Exchange'!$F$421)*100</f>
        <v>42.187742435996896</v>
      </c>
      <c r="K146" s="260">
        <f>('Pivot Table for Data Exchange'!$F$424)*100</f>
        <v>10.923196276183088</v>
      </c>
      <c r="L146" s="261">
        <f>SUM(M146:O146)</f>
        <v>46.889061287820013</v>
      </c>
      <c r="M146" s="260">
        <f>('Pivot Table for Data Exchange'!$F$427)*100</f>
        <v>46.889061287820013</v>
      </c>
      <c r="N146" s="260">
        <f>('Pivot Table for Data Exchange'!$F$430)*100</f>
        <v>0</v>
      </c>
      <c r="O146" s="268">
        <f>('Pivot Table for Data Exchange'!$F$433)*100</f>
        <v>0</v>
      </c>
      <c r="P146" s="260">
        <f>('Pivot Table for Data Exchange'!$F$436)*100</f>
        <v>0</v>
      </c>
      <c r="Q146" s="265">
        <f t="shared" si="14"/>
        <v>99.999999999999986</v>
      </c>
      <c r="R146" s="265">
        <f t="shared" si="15"/>
        <v>100</v>
      </c>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4"/>
      <c r="AN146" s="314"/>
      <c r="AO146" s="314"/>
    </row>
    <row r="147" spans="1:41" ht="15.75" customHeight="1">
      <c r="B147" s="260"/>
      <c r="C147" s="260"/>
      <c r="D147" s="261"/>
      <c r="E147" s="260"/>
      <c r="F147" s="260"/>
      <c r="G147" s="268"/>
      <c r="H147" s="260"/>
      <c r="I147" s="266"/>
      <c r="J147" s="260"/>
      <c r="K147" s="260"/>
      <c r="L147" s="261"/>
      <c r="M147" s="260"/>
      <c r="N147" s="260"/>
      <c r="O147" s="268"/>
      <c r="P147" s="260"/>
      <c r="Q147" s="265">
        <f t="shared" si="14"/>
        <v>0</v>
      </c>
      <c r="R147" s="265">
        <f t="shared" si="15"/>
        <v>0</v>
      </c>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row>
    <row r="148" spans="1:41" ht="15.75" customHeight="1">
      <c r="A148" s="231" t="s">
        <v>678</v>
      </c>
      <c r="B148" s="260">
        <f>('Pivot Table for Data Exchange'!$F$439)*100</f>
        <v>0</v>
      </c>
      <c r="C148" s="260">
        <f>('Pivot Table for Data Exchange'!$F$442)*100</f>
        <v>0</v>
      </c>
      <c r="D148" s="261">
        <f>SUM(E148:G148)</f>
        <v>0</v>
      </c>
      <c r="E148" s="260">
        <f>('Pivot Table for Data Exchange'!$F$445)*100</f>
        <v>0</v>
      </c>
      <c r="F148" s="260">
        <f>('Pivot Table for Data Exchange'!$F$448)*100</f>
        <v>0</v>
      </c>
      <c r="G148" s="268">
        <f>('Pivot Table for Data Exchange'!$F$451)*100</f>
        <v>0</v>
      </c>
      <c r="H148" s="260">
        <f>('Pivot Table for Data Exchange'!$F$454)*100</f>
        <v>0</v>
      </c>
      <c r="I148" s="266" t="s">
        <v>678</v>
      </c>
      <c r="J148" s="260">
        <f>('Pivot Table for Data Exchange'!$F$457)*100</f>
        <v>0</v>
      </c>
      <c r="K148" s="260">
        <f>('Pivot Table for Data Exchange'!$F$460)*100</f>
        <v>0</v>
      </c>
      <c r="L148" s="261">
        <f>SUM(M148:O148)</f>
        <v>0</v>
      </c>
      <c r="M148" s="260">
        <f>('Pivot Table for Data Exchange'!$F$463)*100</f>
        <v>0</v>
      </c>
      <c r="N148" s="260">
        <f>('Pivot Table for Data Exchange'!$F$466)*100</f>
        <v>0</v>
      </c>
      <c r="O148" s="268">
        <f>('Pivot Table for Data Exchange'!$F$469)*100</f>
        <v>0</v>
      </c>
      <c r="P148" s="260">
        <f>('Pivot Table for Data Exchange'!$F$472)*100</f>
        <v>0</v>
      </c>
      <c r="Q148" s="265">
        <f t="shared" si="14"/>
        <v>0</v>
      </c>
      <c r="R148" s="265">
        <f t="shared" si="15"/>
        <v>0</v>
      </c>
      <c r="S148" s="314"/>
      <c r="T148" s="314"/>
      <c r="U148" s="314"/>
      <c r="V148" s="314"/>
      <c r="W148" s="314"/>
      <c r="X148" s="314"/>
      <c r="Y148" s="314"/>
      <c r="Z148" s="314"/>
      <c r="AA148" s="314"/>
      <c r="AB148" s="314"/>
      <c r="AC148" s="314"/>
      <c r="AD148" s="314"/>
      <c r="AE148" s="314"/>
      <c r="AF148" s="314"/>
      <c r="AG148" s="314"/>
      <c r="AH148" s="314"/>
      <c r="AI148" s="314"/>
      <c r="AJ148" s="314"/>
      <c r="AK148" s="314"/>
      <c r="AL148" s="314"/>
      <c r="AM148" s="314"/>
      <c r="AN148" s="314"/>
      <c r="AO148" s="314"/>
    </row>
    <row r="149" spans="1:41" ht="15.75" customHeight="1">
      <c r="A149" s="231" t="s">
        <v>679</v>
      </c>
      <c r="B149" s="260">
        <f>('Pivot Table for Data Exchange'!$F$475)*100</f>
        <v>0</v>
      </c>
      <c r="C149" s="260">
        <f>('Pivot Table for Data Exchange'!$F$478)*100</f>
        <v>0</v>
      </c>
      <c r="D149" s="261">
        <f>SUM(E149:G149)</f>
        <v>0</v>
      </c>
      <c r="E149" s="260">
        <f>('Pivot Table for Data Exchange'!$F$481)*100</f>
        <v>0</v>
      </c>
      <c r="F149" s="260">
        <f>('Pivot Table for Data Exchange'!$F$484)*100</f>
        <v>0</v>
      </c>
      <c r="G149" s="268">
        <f>('Pivot Table for Data Exchange'!$F$487)*100</f>
        <v>0</v>
      </c>
      <c r="H149" s="260">
        <f>('Pivot Table for Data Exchange'!$F$490)*100</f>
        <v>0</v>
      </c>
      <c r="I149" s="266" t="s">
        <v>679</v>
      </c>
      <c r="J149" s="260">
        <f>('Pivot Table for Data Exchange'!$F$493)*100</f>
        <v>0</v>
      </c>
      <c r="K149" s="260">
        <f>('Pivot Table for Data Exchange'!$F$496)*100</f>
        <v>0</v>
      </c>
      <c r="L149" s="261">
        <f>SUM(M149:O149)</f>
        <v>0</v>
      </c>
      <c r="M149" s="260">
        <f>('Pivot Table for Data Exchange'!$F$499)*100</f>
        <v>0</v>
      </c>
      <c r="N149" s="260">
        <f>('Pivot Table for Data Exchange'!$F$502)*100</f>
        <v>0</v>
      </c>
      <c r="O149" s="268">
        <f>('Pivot Table for Data Exchange'!$F$505)*100</f>
        <v>0</v>
      </c>
      <c r="P149" s="260">
        <f>('Pivot Table for Data Exchange'!$F$508)*100</f>
        <v>0</v>
      </c>
      <c r="Q149" s="265">
        <f t="shared" si="14"/>
        <v>0</v>
      </c>
      <c r="R149" s="265">
        <f t="shared" si="15"/>
        <v>0</v>
      </c>
      <c r="S149" s="314"/>
      <c r="T149" s="314"/>
      <c r="U149" s="314"/>
      <c r="V149" s="314"/>
      <c r="W149" s="314"/>
      <c r="X149" s="314"/>
      <c r="Y149" s="314"/>
      <c r="Z149" s="314"/>
      <c r="AA149" s="314"/>
      <c r="AB149" s="314"/>
      <c r="AC149" s="314"/>
      <c r="AD149" s="314"/>
      <c r="AE149" s="314"/>
      <c r="AF149" s="314"/>
      <c r="AG149" s="314"/>
      <c r="AH149" s="314"/>
      <c r="AI149" s="314"/>
      <c r="AJ149" s="314"/>
      <c r="AK149" s="314"/>
      <c r="AL149" s="314"/>
      <c r="AM149" s="314"/>
      <c r="AN149" s="314"/>
      <c r="AO149" s="314"/>
    </row>
    <row r="150" spans="1:41" ht="15.75" customHeight="1">
      <c r="A150" s="231" t="s">
        <v>680</v>
      </c>
      <c r="B150" s="260">
        <f>('Pivot Table for Data Exchange'!$F$511)*100</f>
        <v>0</v>
      </c>
      <c r="C150" s="260">
        <f>('Pivot Table for Data Exchange'!$F$514)*100</f>
        <v>0</v>
      </c>
      <c r="D150" s="261">
        <f>SUM(E150:G150)</f>
        <v>0</v>
      </c>
      <c r="E150" s="260">
        <f>('Pivot Table for Data Exchange'!$F$517)*100</f>
        <v>0</v>
      </c>
      <c r="F150" s="260">
        <f>('Pivot Table for Data Exchange'!$F$520)*100</f>
        <v>0</v>
      </c>
      <c r="G150" s="268">
        <f>('Pivot Table for Data Exchange'!$F$523)*100</f>
        <v>0</v>
      </c>
      <c r="H150" s="260">
        <f>('Pivot Table for Data Exchange'!$F$526)*100</f>
        <v>0</v>
      </c>
      <c r="I150" s="266" t="s">
        <v>680</v>
      </c>
      <c r="J150" s="260">
        <f>('Pivot Table for Data Exchange'!$F$529)*100</f>
        <v>0</v>
      </c>
      <c r="K150" s="260">
        <f>('Pivot Table for Data Exchange'!$F$532)*100</f>
        <v>0</v>
      </c>
      <c r="L150" s="261">
        <f>SUM(M150:O150)</f>
        <v>0</v>
      </c>
      <c r="M150" s="260">
        <f>('Pivot Table for Data Exchange'!$F$535)*100</f>
        <v>0</v>
      </c>
      <c r="N150" s="260">
        <f>('Pivot Table for Data Exchange'!$F$538)*100</f>
        <v>0</v>
      </c>
      <c r="O150" s="268">
        <f>('Pivot Table for Data Exchange'!$F$541)*100</f>
        <v>0</v>
      </c>
      <c r="P150" s="260">
        <f>('Pivot Table for Data Exchange'!$F$544)*100</f>
        <v>0</v>
      </c>
      <c r="Q150" s="265">
        <f t="shared" si="14"/>
        <v>0</v>
      </c>
      <c r="R150" s="265">
        <f t="shared" si="15"/>
        <v>0</v>
      </c>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4"/>
      <c r="AO150" s="314"/>
    </row>
    <row r="151" spans="1:41" ht="15.75" customHeight="1">
      <c r="A151" s="237" t="s">
        <v>681</v>
      </c>
      <c r="B151" s="273">
        <f>('Pivot Table for Data Exchange'!$F$547)*100</f>
        <v>0</v>
      </c>
      <c r="C151" s="273">
        <f>('Pivot Table for Data Exchange'!$F$550)*100</f>
        <v>0</v>
      </c>
      <c r="D151" s="274">
        <f>SUM(E151:G151)</f>
        <v>0</v>
      </c>
      <c r="E151" s="273">
        <f>('Pivot Table for Data Exchange'!$F$553)*100</f>
        <v>0</v>
      </c>
      <c r="F151" s="273">
        <f>('Pivot Table for Data Exchange'!$F$556)*100</f>
        <v>0</v>
      </c>
      <c r="G151" s="275">
        <f>('Pivot Table for Data Exchange'!$F$559)*100</f>
        <v>0</v>
      </c>
      <c r="H151" s="273">
        <f>('Pivot Table for Data Exchange'!$F$562)*100</f>
        <v>0</v>
      </c>
      <c r="I151" s="276" t="s">
        <v>681</v>
      </c>
      <c r="J151" s="273">
        <f>('Pivot Table for Data Exchange'!$F$565)*100</f>
        <v>0</v>
      </c>
      <c r="K151" s="273">
        <f>('Pivot Table for Data Exchange'!$F$568)*100</f>
        <v>0</v>
      </c>
      <c r="L151" s="274">
        <f>SUM(M151:O151)</f>
        <v>0</v>
      </c>
      <c r="M151" s="273">
        <f>('Pivot Table for Data Exchange'!$F$571)*100</f>
        <v>0</v>
      </c>
      <c r="N151" s="273">
        <f>('Pivot Table for Data Exchange'!$F$574)*100</f>
        <v>0</v>
      </c>
      <c r="O151" s="275">
        <f>('Pivot Table for Data Exchange'!$F$577)*100</f>
        <v>0</v>
      </c>
      <c r="P151" s="273">
        <f>('Pivot Table for Data Exchange'!$F$580)*100</f>
        <v>0</v>
      </c>
      <c r="Q151" s="265">
        <f t="shared" si="14"/>
        <v>0</v>
      </c>
      <c r="R151" s="265">
        <f t="shared" si="15"/>
        <v>0</v>
      </c>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314"/>
    </row>
    <row r="152" spans="1:41" s="304" customFormat="1" ht="12.75" customHeight="1">
      <c r="A152" s="279" t="s">
        <v>706</v>
      </c>
      <c r="B152" s="280"/>
      <c r="C152" s="280"/>
      <c r="D152" s="281"/>
      <c r="E152" s="280"/>
      <c r="F152" s="281"/>
      <c r="G152" s="281"/>
      <c r="H152" s="280"/>
      <c r="I152" s="279" t="s">
        <v>706</v>
      </c>
      <c r="J152" s="280"/>
      <c r="K152" s="280"/>
      <c r="L152" s="281"/>
      <c r="M152" s="280"/>
      <c r="N152" s="281"/>
      <c r="O152" s="281"/>
      <c r="P152" s="280"/>
      <c r="Q152" s="265">
        <f t="shared" si="14"/>
        <v>0</v>
      </c>
      <c r="R152" s="265">
        <f t="shared" si="15"/>
        <v>0</v>
      </c>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317"/>
    </row>
    <row r="153" spans="1:41" s="304" customFormat="1" ht="24" customHeight="1">
      <c r="A153" s="490" t="s">
        <v>712</v>
      </c>
      <c r="B153" s="491"/>
      <c r="C153" s="491"/>
      <c r="D153" s="491"/>
      <c r="E153" s="491"/>
      <c r="F153" s="491"/>
      <c r="G153" s="491"/>
      <c r="H153" s="491"/>
      <c r="I153" s="490" t="s">
        <v>712</v>
      </c>
      <c r="J153" s="491"/>
      <c r="K153" s="491"/>
      <c r="L153" s="491"/>
      <c r="M153" s="491"/>
      <c r="N153" s="491"/>
      <c r="O153" s="491"/>
      <c r="P153" s="491"/>
      <c r="Q153" s="265">
        <f t="shared" si="14"/>
        <v>0</v>
      </c>
      <c r="R153" s="265">
        <f t="shared" si="15"/>
        <v>0</v>
      </c>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row>
    <row r="154" spans="1:41" s="304" customFormat="1" ht="9.75" customHeight="1">
      <c r="A154" s="283"/>
      <c r="B154" s="292"/>
      <c r="C154" s="292"/>
      <c r="D154" s="292"/>
      <c r="E154" s="292"/>
      <c r="F154" s="292"/>
      <c r="G154" s="292"/>
      <c r="H154" s="292"/>
      <c r="I154" s="283"/>
      <c r="J154" s="292"/>
      <c r="K154" s="292"/>
      <c r="L154" s="292"/>
      <c r="M154" s="292"/>
      <c r="N154" s="292"/>
      <c r="O154" s="292"/>
      <c r="P154" s="292"/>
      <c r="Q154" s="265"/>
      <c r="R154" s="265"/>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row>
    <row r="155" spans="1:41" s="304" customFormat="1" ht="13.5" customHeight="1">
      <c r="A155" s="289"/>
      <c r="B155" s="290"/>
      <c r="C155" s="278"/>
      <c r="D155" s="278"/>
      <c r="E155" s="278"/>
      <c r="F155" s="278"/>
      <c r="G155" s="278"/>
      <c r="H155" s="284" t="s">
        <v>839</v>
      </c>
      <c r="I155" s="289"/>
      <c r="J155" s="278"/>
      <c r="K155" s="278"/>
      <c r="L155" s="278"/>
      <c r="M155" s="278"/>
      <c r="N155" s="278"/>
      <c r="O155" s="278"/>
      <c r="P155" s="284" t="s">
        <v>839</v>
      </c>
      <c r="Q155" s="265">
        <f t="shared" ref="Q155:Q216" si="24">SUM(B155,C155,D155,H155)</f>
        <v>0</v>
      </c>
      <c r="R155" s="265">
        <f t="shared" ref="R155:R216" si="25">SUM(J155,K155,L155,P155)</f>
        <v>0</v>
      </c>
    </row>
    <row r="156" spans="1:41" ht="18">
      <c r="A156" s="226" t="s">
        <v>715</v>
      </c>
      <c r="B156" s="227"/>
      <c r="C156" s="227"/>
      <c r="D156" s="227"/>
      <c r="E156" s="227"/>
      <c r="F156" s="227"/>
      <c r="G156" s="227"/>
      <c r="H156" s="227"/>
      <c r="I156" s="226" t="s">
        <v>716</v>
      </c>
      <c r="J156" s="228"/>
      <c r="K156" s="228"/>
      <c r="L156" s="227"/>
      <c r="M156" s="228"/>
      <c r="N156" s="228"/>
      <c r="O156" s="228"/>
      <c r="P156" s="228"/>
      <c r="Q156" s="265">
        <f t="shared" si="24"/>
        <v>0</v>
      </c>
      <c r="R156" s="265">
        <f t="shared" si="25"/>
        <v>0</v>
      </c>
    </row>
    <row r="157" spans="1:41" ht="13">
      <c r="A157" s="232"/>
      <c r="B157" s="228"/>
      <c r="C157" s="228"/>
      <c r="D157" s="228"/>
      <c r="E157" s="228"/>
      <c r="F157" s="228"/>
      <c r="G157" s="228"/>
      <c r="H157" s="228"/>
      <c r="I157" s="232"/>
      <c r="J157" s="228"/>
      <c r="K157" s="228"/>
      <c r="L157" s="228"/>
      <c r="M157" s="228"/>
      <c r="N157" s="228"/>
      <c r="O157" s="228"/>
      <c r="P157" s="228"/>
      <c r="Q157" s="265">
        <f t="shared" si="24"/>
        <v>0</v>
      </c>
      <c r="R157" s="265">
        <f t="shared" si="25"/>
        <v>0</v>
      </c>
    </row>
    <row r="158" spans="1:41" ht="15.5">
      <c r="A158" s="234" t="s">
        <v>687</v>
      </c>
      <c r="B158" s="228"/>
      <c r="C158" s="228"/>
      <c r="D158" s="228"/>
      <c r="E158" s="228"/>
      <c r="F158" s="228"/>
      <c r="G158" s="228"/>
      <c r="H158" s="228"/>
      <c r="I158" s="234" t="s">
        <v>688</v>
      </c>
      <c r="J158" s="228"/>
      <c r="K158" s="228"/>
      <c r="L158" s="228"/>
      <c r="M158" s="228"/>
      <c r="N158" s="228"/>
      <c r="O158" s="228"/>
      <c r="P158" s="228"/>
      <c r="Q158" s="265">
        <f t="shared" si="24"/>
        <v>0</v>
      </c>
      <c r="R158" s="265">
        <f t="shared" si="25"/>
        <v>0</v>
      </c>
    </row>
    <row r="159" spans="1:41" ht="15.5">
      <c r="A159" s="234" t="s">
        <v>829</v>
      </c>
      <c r="B159" s="228"/>
      <c r="C159" s="228"/>
      <c r="D159" s="228"/>
      <c r="E159" s="228"/>
      <c r="F159" s="228"/>
      <c r="G159" s="228"/>
      <c r="H159" s="228"/>
      <c r="I159" s="234" t="s">
        <v>829</v>
      </c>
      <c r="J159" s="228"/>
      <c r="K159" s="228"/>
      <c r="L159" s="228"/>
      <c r="M159" s="228"/>
      <c r="N159" s="228"/>
      <c r="O159" s="228"/>
      <c r="P159" s="228"/>
      <c r="Q159" s="265">
        <f t="shared" si="24"/>
        <v>0</v>
      </c>
      <c r="R159" s="265">
        <f t="shared" si="25"/>
        <v>0</v>
      </c>
    </row>
    <row r="160" spans="1:41">
      <c r="A160" s="237"/>
      <c r="B160" s="238"/>
      <c r="C160" s="238"/>
      <c r="D160" s="238"/>
      <c r="E160" s="238"/>
      <c r="F160" s="238"/>
      <c r="G160" s="238"/>
      <c r="H160" s="238"/>
      <c r="I160" s="239"/>
      <c r="L160" s="240"/>
      <c r="P160" s="237"/>
      <c r="Q160" s="265">
        <f t="shared" si="24"/>
        <v>0</v>
      </c>
      <c r="R160" s="265">
        <f t="shared" si="25"/>
        <v>0</v>
      </c>
    </row>
    <row r="161" spans="1:41" s="258" customFormat="1">
      <c r="A161" s="242"/>
      <c r="B161" s="243" t="s">
        <v>689</v>
      </c>
      <c r="C161" s="243"/>
      <c r="D161" s="243"/>
      <c r="E161" s="243"/>
      <c r="F161" s="243"/>
      <c r="G161" s="243"/>
      <c r="H161" s="244"/>
      <c r="I161" s="242"/>
      <c r="J161" s="243" t="s">
        <v>689</v>
      </c>
      <c r="K161" s="243"/>
      <c r="L161" s="243"/>
      <c r="M161" s="243"/>
      <c r="N161" s="243"/>
      <c r="O161" s="243"/>
      <c r="P161" s="244"/>
      <c r="Q161" s="265">
        <f t="shared" si="24"/>
        <v>0</v>
      </c>
      <c r="R161" s="265">
        <f t="shared" si="25"/>
        <v>0</v>
      </c>
    </row>
    <row r="162" spans="1:41" s="258" customFormat="1">
      <c r="A162" s="242"/>
      <c r="B162" s="243" t="s">
        <v>690</v>
      </c>
      <c r="C162" s="243"/>
      <c r="D162" s="485" t="s">
        <v>691</v>
      </c>
      <c r="E162" s="483"/>
      <c r="F162" s="483"/>
      <c r="G162" s="483"/>
      <c r="H162" s="250" t="s">
        <v>581</v>
      </c>
      <c r="I162" s="242"/>
      <c r="J162" s="243" t="s">
        <v>690</v>
      </c>
      <c r="K162" s="243"/>
      <c r="L162" s="485" t="s">
        <v>691</v>
      </c>
      <c r="M162" s="483"/>
      <c r="N162" s="483"/>
      <c r="O162" s="483"/>
      <c r="P162" s="250" t="s">
        <v>581</v>
      </c>
      <c r="Q162" s="265">
        <f t="shared" si="24"/>
        <v>0</v>
      </c>
      <c r="R162" s="265">
        <f t="shared" si="25"/>
        <v>0</v>
      </c>
    </row>
    <row r="163" spans="1:41" s="258" customFormat="1" ht="40.5" customHeight="1">
      <c r="A163" s="242"/>
      <c r="B163" s="251" t="s">
        <v>692</v>
      </c>
      <c r="C163" s="252" t="s">
        <v>693</v>
      </c>
      <c r="D163" s="253" t="s">
        <v>694</v>
      </c>
      <c r="E163" s="254" t="s">
        <v>8</v>
      </c>
      <c r="F163" s="251" t="s">
        <v>695</v>
      </c>
      <c r="G163" s="255" t="s">
        <v>704</v>
      </c>
      <c r="H163" s="256" t="s">
        <v>697</v>
      </c>
      <c r="I163" s="242"/>
      <c r="J163" s="251" t="s">
        <v>692</v>
      </c>
      <c r="K163" s="252" t="s">
        <v>693</v>
      </c>
      <c r="L163" s="253" t="s">
        <v>694</v>
      </c>
      <c r="M163" s="254" t="s">
        <v>8</v>
      </c>
      <c r="N163" s="251" t="s">
        <v>695</v>
      </c>
      <c r="O163" s="255" t="s">
        <v>704</v>
      </c>
      <c r="P163" s="256" t="s">
        <v>697</v>
      </c>
      <c r="Q163" s="265">
        <f t="shared" si="24"/>
        <v>0</v>
      </c>
      <c r="R163" s="265">
        <f t="shared" si="25"/>
        <v>0</v>
      </c>
      <c r="T163" s="257"/>
    </row>
    <row r="164" spans="1:41" ht="15.75" customHeight="1">
      <c r="A164" s="286" t="s">
        <v>666</v>
      </c>
      <c r="B164" s="313">
        <f>('Pivot Table for Data Exchange'!$G$7)*100</f>
        <v>77.681811294271512</v>
      </c>
      <c r="C164" s="260">
        <f>('Pivot Table for Data Exchange'!$G$10)*100</f>
        <v>0.19379381295308276</v>
      </c>
      <c r="D164" s="261">
        <f>SUM(E164:G164)</f>
        <v>22.124394892775399</v>
      </c>
      <c r="E164" s="260">
        <f>('Pivot Table for Data Exchange'!$G$13)*100</f>
        <v>22.124394892775399</v>
      </c>
      <c r="F164" s="260">
        <f>('Pivot Table for Data Exchange'!$G$16)*100</f>
        <v>0</v>
      </c>
      <c r="G164" s="264">
        <f>('Pivot Table for Data Exchange'!$G$19)*100</f>
        <v>0</v>
      </c>
      <c r="H164" s="260">
        <f>('Pivot Table for Data Exchange'!$G$22)*100</f>
        <v>0</v>
      </c>
      <c r="I164" s="263" t="s">
        <v>666</v>
      </c>
      <c r="J164" s="260">
        <f>('Pivot Table for Data Exchange'!$G$25)*100</f>
        <v>7.1047008547008543</v>
      </c>
      <c r="K164" s="260">
        <f>('Pivot Table for Data Exchange'!$G$28)*100</f>
        <v>0.88281601439496171</v>
      </c>
      <c r="L164" s="261">
        <f>SUM(M164:O164)</f>
        <v>92.012483130904187</v>
      </c>
      <c r="M164" s="260">
        <f>('Pivot Table for Data Exchange'!$G$31)*100</f>
        <v>92.012483130904187</v>
      </c>
      <c r="N164" s="260">
        <f>('Pivot Table for Data Exchange'!$G$34)*100</f>
        <v>0</v>
      </c>
      <c r="O164" s="264">
        <f>('Pivot Table for Data Exchange'!$G$37)*100</f>
        <v>0</v>
      </c>
      <c r="P164" s="260">
        <f>('Pivot Table for Data Exchange'!$G$40)*100</f>
        <v>0</v>
      </c>
      <c r="Q164" s="265">
        <f t="shared" si="24"/>
        <v>100</v>
      </c>
      <c r="R164" s="265">
        <f t="shared" si="25"/>
        <v>100</v>
      </c>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row>
    <row r="165" spans="1:41" ht="15.75" customHeight="1">
      <c r="A165" s="231" t="s">
        <v>667</v>
      </c>
      <c r="B165" s="260">
        <f>('Pivot Table for Data Exchange'!$G$43)*100</f>
        <v>0</v>
      </c>
      <c r="C165" s="260">
        <f>('Pivot Table for Data Exchange'!$G$46)*100</f>
        <v>0</v>
      </c>
      <c r="D165" s="261">
        <f t="shared" ref="D165:D167" si="26">SUM(E165:G165)</f>
        <v>0</v>
      </c>
      <c r="E165" s="260">
        <f>('Pivot Table for Data Exchange'!$G$49)*100</f>
        <v>0</v>
      </c>
      <c r="F165" s="260">
        <f>('Pivot Table for Data Exchange'!$G$52)*100</f>
        <v>0</v>
      </c>
      <c r="G165" s="268">
        <f>('Pivot Table for Data Exchange'!$G$55)*100</f>
        <v>0</v>
      </c>
      <c r="H165" s="260">
        <f>('Pivot Table for Data Exchange'!$G$58)*100</f>
        <v>0</v>
      </c>
      <c r="I165" s="266" t="s">
        <v>667</v>
      </c>
      <c r="J165" s="260">
        <f>('Pivot Table for Data Exchange'!$G$61)*100</f>
        <v>0</v>
      </c>
      <c r="K165" s="260">
        <f>('Pivot Table for Data Exchange'!$G$64)*100</f>
        <v>0</v>
      </c>
      <c r="L165" s="261">
        <f t="shared" ref="L165:L167" si="27">SUM(M165:O165)</f>
        <v>0</v>
      </c>
      <c r="M165" s="260">
        <f>('Pivot Table for Data Exchange'!$G$67)*100</f>
        <v>0</v>
      </c>
      <c r="N165" s="260">
        <f>('Pivot Table for Data Exchange'!$G$70)*100</f>
        <v>0</v>
      </c>
      <c r="O165" s="268">
        <f>('Pivot Table for Data Exchange'!$G$73)*100</f>
        <v>0</v>
      </c>
      <c r="P165" s="260">
        <f>('Pivot Table for Data Exchange'!$G$76)*100</f>
        <v>0</v>
      </c>
      <c r="Q165" s="265">
        <f t="shared" si="24"/>
        <v>0</v>
      </c>
      <c r="R165" s="265">
        <f t="shared" si="25"/>
        <v>0</v>
      </c>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row>
    <row r="166" spans="1:41" ht="15.75" customHeight="1">
      <c r="A166" s="231" t="s">
        <v>668</v>
      </c>
      <c r="B166" s="260">
        <f>('Pivot Table for Data Exchange'!$G$79)*100</f>
        <v>0</v>
      </c>
      <c r="C166" s="260">
        <f>('Pivot Table for Data Exchange'!$G$82)*100</f>
        <v>0</v>
      </c>
      <c r="D166" s="261">
        <f t="shared" si="26"/>
        <v>0</v>
      </c>
      <c r="E166" s="260">
        <f>('Pivot Table for Data Exchange'!$G$85)*100</f>
        <v>0</v>
      </c>
      <c r="F166" s="260">
        <f>('Pivot Table for Data Exchange'!$G$88)*100</f>
        <v>0</v>
      </c>
      <c r="G166" s="268">
        <f>('Pivot Table for Data Exchange'!$G$91)*100</f>
        <v>0</v>
      </c>
      <c r="H166" s="260">
        <f>('Pivot Table for Data Exchange'!$G$94)*100</f>
        <v>0</v>
      </c>
      <c r="I166" s="266" t="s">
        <v>668</v>
      </c>
      <c r="J166" s="260">
        <f>('Pivot Table for Data Exchange'!$G$97)*100</f>
        <v>0</v>
      </c>
      <c r="K166" s="260">
        <f>('Pivot Table for Data Exchange'!$G$100)*100</f>
        <v>0</v>
      </c>
      <c r="L166" s="261">
        <f t="shared" si="27"/>
        <v>0</v>
      </c>
      <c r="M166" s="260">
        <f>('Pivot Table for Data Exchange'!$G$103)*100</f>
        <v>0</v>
      </c>
      <c r="N166" s="260">
        <f>('Pivot Table for Data Exchange'!$G$106)*100</f>
        <v>0</v>
      </c>
      <c r="O166" s="268">
        <f>('Pivot Table for Data Exchange'!$G$109)*100</f>
        <v>0</v>
      </c>
      <c r="P166" s="260">
        <f>('Pivot Table for Data Exchange'!$G$112)*100</f>
        <v>0</v>
      </c>
      <c r="Q166" s="265">
        <f t="shared" si="24"/>
        <v>0</v>
      </c>
      <c r="R166" s="265">
        <f t="shared" si="25"/>
        <v>0</v>
      </c>
      <c r="S166" s="314"/>
      <c r="T166" s="318"/>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row>
    <row r="167" spans="1:41" ht="15.75" customHeight="1">
      <c r="A167" s="231" t="s">
        <v>669</v>
      </c>
      <c r="B167" s="260">
        <f>('Pivot Table for Data Exchange'!$G$115)*100</f>
        <v>0</v>
      </c>
      <c r="C167" s="260">
        <f>('Pivot Table for Data Exchange'!$G$118)*100</f>
        <v>0</v>
      </c>
      <c r="D167" s="261">
        <f t="shared" si="26"/>
        <v>0</v>
      </c>
      <c r="E167" s="260">
        <f>('Pivot Table for Data Exchange'!$G$121)*100</f>
        <v>0</v>
      </c>
      <c r="F167" s="260">
        <f>('Pivot Table for Data Exchange'!$G$124)*100</f>
        <v>0</v>
      </c>
      <c r="G167" s="268">
        <f>('Pivot Table for Data Exchange'!$G$127)*100</f>
        <v>0</v>
      </c>
      <c r="H167" s="260">
        <f>('Pivot Table for Data Exchange'!$G$130)*100</f>
        <v>0</v>
      </c>
      <c r="I167" s="266" t="s">
        <v>669</v>
      </c>
      <c r="J167" s="260">
        <f>('Pivot Table for Data Exchange'!$G$133)*100</f>
        <v>0</v>
      </c>
      <c r="K167" s="260">
        <f>('Pivot Table for Data Exchange'!$G$136)*100</f>
        <v>0</v>
      </c>
      <c r="L167" s="261">
        <f t="shared" si="27"/>
        <v>0</v>
      </c>
      <c r="M167" s="260">
        <f>('Pivot Table for Data Exchange'!$G$139)*100</f>
        <v>0</v>
      </c>
      <c r="N167" s="260">
        <f>('Pivot Table for Data Exchange'!$G$142)*100</f>
        <v>0</v>
      </c>
      <c r="O167" s="268">
        <f>('Pivot Table for Data Exchange'!$G$145)*100</f>
        <v>0</v>
      </c>
      <c r="P167" s="260">
        <f>('Pivot Table for Data Exchange'!$G$148)*100</f>
        <v>0</v>
      </c>
      <c r="Q167" s="265">
        <f t="shared" si="24"/>
        <v>0</v>
      </c>
      <c r="R167" s="265">
        <f t="shared" si="25"/>
        <v>0</v>
      </c>
      <c r="S167" s="314"/>
      <c r="U167" s="314"/>
      <c r="V167" s="314"/>
      <c r="W167" s="314"/>
      <c r="X167" s="314"/>
      <c r="Y167" s="314"/>
      <c r="Z167" s="314"/>
      <c r="AA167" s="314"/>
      <c r="AB167" s="314"/>
      <c r="AC167" s="314"/>
      <c r="AD167" s="314"/>
      <c r="AE167" s="314"/>
      <c r="AF167" s="314"/>
      <c r="AG167" s="314"/>
      <c r="AH167" s="314"/>
      <c r="AI167" s="314"/>
      <c r="AJ167" s="314"/>
      <c r="AK167" s="314"/>
      <c r="AL167" s="314"/>
      <c r="AM167" s="314"/>
      <c r="AN167" s="314"/>
      <c r="AO167" s="314"/>
    </row>
    <row r="168" spans="1:41" ht="10.5" customHeight="1">
      <c r="B168" s="260"/>
      <c r="C168" s="260"/>
      <c r="D168" s="261"/>
      <c r="E168" s="260"/>
      <c r="F168" s="260"/>
      <c r="G168" s="268"/>
      <c r="H168" s="260"/>
      <c r="I168" s="266"/>
      <c r="J168" s="260"/>
      <c r="K168" s="260"/>
      <c r="L168" s="261"/>
      <c r="M168" s="260"/>
      <c r="N168" s="260"/>
      <c r="O168" s="268"/>
      <c r="P168" s="260"/>
      <c r="Q168" s="265">
        <f t="shared" si="24"/>
        <v>0</v>
      </c>
      <c r="R168" s="265">
        <f t="shared" si="25"/>
        <v>0</v>
      </c>
      <c r="S168" s="314"/>
      <c r="U168" s="314"/>
      <c r="V168" s="314"/>
      <c r="W168" s="314"/>
      <c r="X168" s="314"/>
      <c r="Y168" s="314"/>
      <c r="Z168" s="314"/>
      <c r="AA168" s="314"/>
      <c r="AB168" s="314"/>
      <c r="AC168" s="314"/>
      <c r="AD168" s="314"/>
      <c r="AE168" s="314"/>
      <c r="AF168" s="314"/>
      <c r="AG168" s="314"/>
      <c r="AH168" s="314"/>
      <c r="AI168" s="314"/>
      <c r="AJ168" s="314"/>
      <c r="AK168" s="314"/>
      <c r="AL168" s="314"/>
      <c r="AM168" s="314"/>
      <c r="AN168" s="314"/>
      <c r="AO168" s="314"/>
    </row>
    <row r="169" spans="1:41" ht="15.75" customHeight="1">
      <c r="A169" s="231" t="s">
        <v>670</v>
      </c>
      <c r="B169" s="260">
        <f>('Pivot Table for Data Exchange'!$G$151)*100</f>
        <v>80.413594781333231</v>
      </c>
      <c r="C169" s="260">
        <f>('Pivot Table for Data Exchange'!$G$154)*100</f>
        <v>0.20843787393368587</v>
      </c>
      <c r="D169" s="261">
        <f t="shared" ref="D169:D170" si="28">SUM(E169:G169)</f>
        <v>19.377967344733083</v>
      </c>
      <c r="E169" s="260">
        <f>('Pivot Table for Data Exchange'!$G$157)*100</f>
        <v>19.377967344733083</v>
      </c>
      <c r="F169" s="272">
        <f>('Pivot Table for Data Exchange'!$G$160)*100</f>
        <v>0</v>
      </c>
      <c r="G169" s="267">
        <f>('Pivot Table for Data Exchange'!$G$163)*100</f>
        <v>0</v>
      </c>
      <c r="H169" s="260">
        <f>('Pivot Table for Data Exchange'!$G$166)*100</f>
        <v>0</v>
      </c>
      <c r="I169" s="266" t="s">
        <v>670</v>
      </c>
      <c r="J169" s="260">
        <f>('Pivot Table for Data Exchange'!$G$169)*100</f>
        <v>42.624286878565613</v>
      </c>
      <c r="K169" s="260">
        <f>('Pivot Table for Data Exchange'!$G$172)*100</f>
        <v>38.141809290953546</v>
      </c>
      <c r="L169" s="261">
        <f t="shared" ref="L169:L170" si="29">SUM(M169:O169)</f>
        <v>19.233903830480848</v>
      </c>
      <c r="M169" s="260">
        <f>('Pivot Table for Data Exchange'!$G$175)*100</f>
        <v>19.233903830480848</v>
      </c>
      <c r="N169" s="260">
        <f>('Pivot Table for Data Exchange'!$G$178)*100</f>
        <v>0</v>
      </c>
      <c r="O169" s="268">
        <f>('Pivot Table for Data Exchange'!$G$181)*100</f>
        <v>0</v>
      </c>
      <c r="P169" s="260">
        <f>('Pivot Table for Data Exchange'!$G$184)*100</f>
        <v>0</v>
      </c>
      <c r="Q169" s="265">
        <f t="shared" si="24"/>
        <v>100</v>
      </c>
      <c r="R169" s="265">
        <f t="shared" si="25"/>
        <v>100</v>
      </c>
      <c r="S169" s="314"/>
      <c r="T169" s="314"/>
      <c r="U169" s="314"/>
      <c r="V169" s="314"/>
      <c r="W169" s="314"/>
      <c r="X169" s="314"/>
      <c r="Y169" s="314"/>
      <c r="Z169" s="314"/>
      <c r="AA169" s="314"/>
      <c r="AB169" s="314"/>
      <c r="AC169" s="314"/>
      <c r="AD169" s="314"/>
      <c r="AE169" s="314"/>
      <c r="AF169" s="314"/>
      <c r="AG169" s="314"/>
      <c r="AH169" s="314"/>
      <c r="AI169" s="314"/>
      <c r="AJ169" s="314"/>
      <c r="AK169" s="314"/>
      <c r="AL169" s="314"/>
      <c r="AM169" s="314"/>
      <c r="AN169" s="314"/>
      <c r="AO169" s="314"/>
    </row>
    <row r="170" spans="1:41" ht="15.75" customHeight="1">
      <c r="A170" s="231" t="s">
        <v>671</v>
      </c>
      <c r="B170" s="260">
        <f>('Pivot Table for Data Exchange'!$G$187)*100</f>
        <v>0</v>
      </c>
      <c r="C170" s="260">
        <f>('Pivot Table for Data Exchange'!$G$190)*100</f>
        <v>0</v>
      </c>
      <c r="D170" s="261">
        <f t="shared" si="28"/>
        <v>0</v>
      </c>
      <c r="E170" s="260">
        <f>('Pivot Table for Data Exchange'!$G$193)*100</f>
        <v>0</v>
      </c>
      <c r="F170" s="260">
        <f>('Pivot Table for Data Exchange'!$G$196)*100</f>
        <v>0</v>
      </c>
      <c r="G170" s="268">
        <f>('Pivot Table for Data Exchange'!$G$199)*100</f>
        <v>0</v>
      </c>
      <c r="H170" s="260">
        <f>('Pivot Table for Data Exchange'!$G$202)*100</f>
        <v>0</v>
      </c>
      <c r="I170" s="266" t="s">
        <v>671</v>
      </c>
      <c r="J170" s="260">
        <f>('Pivot Table for Data Exchange'!$G$205)*100</f>
        <v>0</v>
      </c>
      <c r="K170" s="260">
        <f>('Pivot Table for Data Exchange'!$G$208)*100</f>
        <v>0</v>
      </c>
      <c r="L170" s="261">
        <f t="shared" si="29"/>
        <v>0</v>
      </c>
      <c r="M170" s="260">
        <f>('Pivot Table for Data Exchange'!$G$211)*100</f>
        <v>0</v>
      </c>
      <c r="N170" s="260">
        <f>('Pivot Table for Data Exchange'!$G$214)*100</f>
        <v>0</v>
      </c>
      <c r="O170" s="268">
        <f>('Pivot Table for Data Exchange'!$G$217)*100</f>
        <v>0</v>
      </c>
      <c r="P170" s="260">
        <f>('Pivot Table for Data Exchange'!$G$220)*100</f>
        <v>0</v>
      </c>
      <c r="Q170" s="265">
        <f t="shared" si="24"/>
        <v>0</v>
      </c>
      <c r="R170" s="265">
        <f t="shared" si="25"/>
        <v>0</v>
      </c>
      <c r="S170" s="314"/>
      <c r="T170" s="314"/>
      <c r="U170" s="314"/>
      <c r="V170" s="314"/>
      <c r="W170" s="314"/>
      <c r="X170" s="314"/>
      <c r="Y170" s="314"/>
      <c r="Z170" s="314"/>
      <c r="AA170" s="314"/>
      <c r="AB170" s="314"/>
      <c r="AC170" s="314"/>
      <c r="AD170" s="314"/>
      <c r="AE170" s="314"/>
      <c r="AF170" s="314"/>
      <c r="AG170" s="314"/>
      <c r="AH170" s="314"/>
      <c r="AI170" s="314"/>
      <c r="AJ170" s="314"/>
      <c r="AK170" s="314"/>
      <c r="AL170" s="314"/>
      <c r="AM170" s="314"/>
      <c r="AN170" s="314"/>
      <c r="AO170" s="314"/>
    </row>
    <row r="171" spans="1:41" ht="15.75" customHeight="1">
      <c r="A171" s="231" t="s">
        <v>672</v>
      </c>
      <c r="B171" s="260">
        <f>('Pivot Table for Data Exchange'!$G$223)*100</f>
        <v>69.724025974025977</v>
      </c>
      <c r="C171" s="260">
        <f>('Pivot Table for Data Exchange'!$G$226)*100</f>
        <v>0</v>
      </c>
      <c r="D171" s="261">
        <f>SUM(E171:G171)</f>
        <v>30.27597402597403</v>
      </c>
      <c r="E171" s="260">
        <f>('Pivot Table for Data Exchange'!$G$229)*100</f>
        <v>30.27597402597403</v>
      </c>
      <c r="F171" s="260">
        <f>('Pivot Table for Data Exchange'!$G$232)*100</f>
        <v>0</v>
      </c>
      <c r="G171" s="268">
        <f>('Pivot Table for Data Exchange'!$G$235)*100</f>
        <v>0</v>
      </c>
      <c r="H171" s="260">
        <f>('Pivot Table for Data Exchange'!$G$238)*100</f>
        <v>0</v>
      </c>
      <c r="I171" s="266" t="s">
        <v>672</v>
      </c>
      <c r="J171" s="260">
        <f>('Pivot Table for Data Exchange'!$G$241)*100</f>
        <v>73.103448275862064</v>
      </c>
      <c r="K171" s="260">
        <f>('Pivot Table for Data Exchange'!$G$244)*100</f>
        <v>0</v>
      </c>
      <c r="L171" s="261">
        <f>SUM(M171:O171)</f>
        <v>26.896551724137936</v>
      </c>
      <c r="M171" s="260">
        <f>('Pivot Table for Data Exchange'!$G$247)*100</f>
        <v>26.896551724137936</v>
      </c>
      <c r="N171" s="260">
        <f>('Pivot Table for Data Exchange'!$G$250)*100</f>
        <v>0</v>
      </c>
      <c r="O171" s="268">
        <f>('Pivot Table for Data Exchange'!$G$253)*100</f>
        <v>0</v>
      </c>
      <c r="P171" s="260">
        <f>('Pivot Table for Data Exchange'!$G$256)*100</f>
        <v>0</v>
      </c>
      <c r="Q171" s="265">
        <f t="shared" si="24"/>
        <v>100</v>
      </c>
      <c r="R171" s="265">
        <f t="shared" si="25"/>
        <v>100</v>
      </c>
      <c r="S171" s="314"/>
      <c r="T171" s="318"/>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4"/>
    </row>
    <row r="172" spans="1:41" ht="15.75" customHeight="1">
      <c r="A172" s="231" t="s">
        <v>673</v>
      </c>
      <c r="B172" s="260">
        <f>('Pivot Table for Data Exchange'!$G$259)*100</f>
        <v>79.782962200909296</v>
      </c>
      <c r="C172" s="260">
        <f>('Pivot Table for Data Exchange'!$G$262)*100</f>
        <v>0</v>
      </c>
      <c r="D172" s="261">
        <f>SUM(E172:G172)</f>
        <v>20.217037799090697</v>
      </c>
      <c r="E172" s="260">
        <f>('Pivot Table for Data Exchange'!$G$265)*100</f>
        <v>20.217037799090697</v>
      </c>
      <c r="F172" s="260">
        <f>('Pivot Table for Data Exchange'!$G$268)*100</f>
        <v>0</v>
      </c>
      <c r="G172" s="268">
        <f>('Pivot Table for Data Exchange'!$G$271)*100</f>
        <v>0</v>
      </c>
      <c r="H172" s="260">
        <f>('Pivot Table for Data Exchange'!$G$274)*100</f>
        <v>0</v>
      </c>
      <c r="I172" s="266" t="s">
        <v>673</v>
      </c>
      <c r="J172" s="260">
        <f>('Pivot Table for Data Exchange'!$G$277)*100</f>
        <v>84.578523197560443</v>
      </c>
      <c r="K172" s="260">
        <f>('Pivot Table for Data Exchange'!$G$280)*100</f>
        <v>1.8296667392724897</v>
      </c>
      <c r="L172" s="261">
        <f>SUM(M172:O172)</f>
        <v>13.591810063167065</v>
      </c>
      <c r="M172" s="260">
        <f>('Pivot Table for Data Exchange'!$G$283)*100</f>
        <v>13.591810063167065</v>
      </c>
      <c r="N172" s="260">
        <f>('Pivot Table for Data Exchange'!$G$286)*100</f>
        <v>0</v>
      </c>
      <c r="O172" s="268">
        <f>('Pivot Table for Data Exchange'!$G$289)*100</f>
        <v>0</v>
      </c>
      <c r="P172" s="260">
        <f>('Pivot Table for Data Exchange'!$G$292)*100</f>
        <v>0</v>
      </c>
      <c r="Q172" s="265">
        <f t="shared" si="24"/>
        <v>100</v>
      </c>
      <c r="R172" s="265">
        <f t="shared" si="25"/>
        <v>99.999999999999986</v>
      </c>
      <c r="S172" s="314"/>
      <c r="U172" s="314"/>
      <c r="V172" s="314"/>
      <c r="W172" s="314"/>
      <c r="X172" s="314"/>
      <c r="Y172" s="314"/>
      <c r="Z172" s="314"/>
      <c r="AA172" s="314"/>
      <c r="AB172" s="314"/>
      <c r="AC172" s="314"/>
      <c r="AD172" s="314"/>
      <c r="AE172" s="314"/>
      <c r="AF172" s="314"/>
      <c r="AG172" s="314"/>
      <c r="AH172" s="314"/>
      <c r="AI172" s="314"/>
      <c r="AJ172" s="314"/>
      <c r="AK172" s="314"/>
      <c r="AL172" s="314"/>
      <c r="AM172" s="314"/>
      <c r="AN172" s="314"/>
      <c r="AO172" s="314"/>
    </row>
    <row r="173" spans="1:41" ht="11.25" customHeight="1">
      <c r="B173" s="260"/>
      <c r="C173" s="260"/>
      <c r="D173" s="261"/>
      <c r="E173" s="260"/>
      <c r="F173" s="260"/>
      <c r="G173" s="268"/>
      <c r="H173" s="260"/>
      <c r="I173" s="266"/>
      <c r="J173" s="260"/>
      <c r="K173" s="260"/>
      <c r="L173" s="261"/>
      <c r="M173" s="260"/>
      <c r="N173" s="260"/>
      <c r="O173" s="268"/>
      <c r="P173" s="260"/>
      <c r="Q173" s="265">
        <f t="shared" si="24"/>
        <v>0</v>
      </c>
      <c r="R173" s="265">
        <f t="shared" si="25"/>
        <v>0</v>
      </c>
      <c r="S173" s="314"/>
      <c r="U173" s="314"/>
      <c r="V173" s="314"/>
      <c r="W173" s="314"/>
      <c r="X173" s="314"/>
      <c r="Y173" s="314"/>
      <c r="Z173" s="314"/>
      <c r="AA173" s="314"/>
      <c r="AB173" s="314"/>
      <c r="AC173" s="314"/>
      <c r="AD173" s="314"/>
      <c r="AE173" s="314"/>
      <c r="AF173" s="314"/>
      <c r="AG173" s="314"/>
      <c r="AH173" s="314"/>
      <c r="AI173" s="314"/>
      <c r="AJ173" s="314"/>
      <c r="AK173" s="314"/>
      <c r="AL173" s="314"/>
      <c r="AM173" s="314"/>
      <c r="AN173" s="314"/>
      <c r="AO173" s="314"/>
    </row>
    <row r="174" spans="1:41" ht="15.75" customHeight="1">
      <c r="A174" s="231" t="s">
        <v>674</v>
      </c>
      <c r="B174" s="260">
        <f>('Pivot Table for Data Exchange'!$G$295)*100</f>
        <v>0</v>
      </c>
      <c r="C174" s="260">
        <f>('Pivot Table for Data Exchange'!$G$298)*100</f>
        <v>0</v>
      </c>
      <c r="D174" s="261">
        <f>SUM(E174:G174)</f>
        <v>0</v>
      </c>
      <c r="E174" s="260">
        <f>('Pivot Table for Data Exchange'!$G$301)*100</f>
        <v>0</v>
      </c>
      <c r="F174" s="260">
        <f>('Pivot Table for Data Exchange'!$G$304)*100</f>
        <v>0</v>
      </c>
      <c r="G174" s="268">
        <f>('Pivot Table for Data Exchange'!$G$307)*100</f>
        <v>0</v>
      </c>
      <c r="H174" s="260">
        <f>('Pivot Table for Data Exchange'!$G$310)*100</f>
        <v>0</v>
      </c>
      <c r="I174" s="266" t="s">
        <v>674</v>
      </c>
      <c r="J174" s="260">
        <f>('Pivot Table for Data Exchange'!$G$313)*100</f>
        <v>0</v>
      </c>
      <c r="K174" s="260">
        <f>('Pivot Table for Data Exchange'!$G$316)*100</f>
        <v>0</v>
      </c>
      <c r="L174" s="261">
        <f>SUM(M174:O174)</f>
        <v>0</v>
      </c>
      <c r="M174" s="260">
        <f>('Pivot Table for Data Exchange'!$G$319)*100</f>
        <v>0</v>
      </c>
      <c r="N174" s="260">
        <f>('Pivot Table for Data Exchange'!$G$322)*100</f>
        <v>0</v>
      </c>
      <c r="O174" s="268">
        <f>('Pivot Table for Data Exchange'!$G$325)*100</f>
        <v>0</v>
      </c>
      <c r="P174" s="260">
        <f>('Pivot Table for Data Exchange'!$G$328)*100</f>
        <v>0</v>
      </c>
      <c r="Q174" s="265">
        <f t="shared" si="24"/>
        <v>0</v>
      </c>
      <c r="R174" s="265">
        <f t="shared" si="25"/>
        <v>0</v>
      </c>
      <c r="S174" s="314"/>
      <c r="T174" s="314"/>
      <c r="U174" s="314"/>
      <c r="V174" s="314"/>
      <c r="W174" s="314"/>
      <c r="X174" s="314"/>
      <c r="Y174" s="314"/>
      <c r="Z174" s="314"/>
      <c r="AA174" s="314"/>
      <c r="AB174" s="314"/>
      <c r="AC174" s="314"/>
      <c r="AD174" s="314"/>
      <c r="AE174" s="314"/>
      <c r="AF174" s="314"/>
      <c r="AG174" s="314"/>
      <c r="AH174" s="314"/>
      <c r="AI174" s="314"/>
      <c r="AJ174" s="314"/>
      <c r="AK174" s="314"/>
      <c r="AL174" s="314"/>
      <c r="AM174" s="314"/>
      <c r="AN174" s="314"/>
      <c r="AO174" s="314"/>
    </row>
    <row r="175" spans="1:41" ht="15.75" customHeight="1">
      <c r="A175" s="231" t="s">
        <v>675</v>
      </c>
      <c r="B175" s="260">
        <f>('Pivot Table for Data Exchange'!$G$331)*100</f>
        <v>70.351329040779262</v>
      </c>
      <c r="C175" s="260">
        <f>('Pivot Table for Data Exchange'!$G$334)*100</f>
        <v>0.41307578008915308</v>
      </c>
      <c r="D175" s="261">
        <f>SUM(E175:G175)</f>
        <v>29.235595179131582</v>
      </c>
      <c r="E175" s="260">
        <f>('Pivot Table for Data Exchange'!$G$337)*100</f>
        <v>26.282317979197622</v>
      </c>
      <c r="F175" s="260">
        <f>('Pivot Table for Data Exchange'!$G$340)*100</f>
        <v>5.8444774640911343E-2</v>
      </c>
      <c r="G175" s="268">
        <f>('Pivot Table for Data Exchange'!$G$343)*100</f>
        <v>2.8948324252930493</v>
      </c>
      <c r="H175" s="260">
        <f>('Pivot Table for Data Exchange'!$G$346)*100</f>
        <v>0</v>
      </c>
      <c r="I175" s="266" t="s">
        <v>675</v>
      </c>
      <c r="J175" s="260">
        <f>('Pivot Table for Data Exchange'!$G$349)*100</f>
        <v>34.362945998071361</v>
      </c>
      <c r="K175" s="260">
        <f>('Pivot Table for Data Exchange'!$G$352)*100</f>
        <v>3.2274590163934427</v>
      </c>
      <c r="L175" s="261">
        <f>SUM(M175:O175)</f>
        <v>62.409594985535193</v>
      </c>
      <c r="M175" s="260">
        <f>('Pivot Table for Data Exchange'!$G$355)*100</f>
        <v>57.838114754098356</v>
      </c>
      <c r="N175" s="260">
        <f>('Pivot Table for Data Exchange'!$G$358)*100</f>
        <v>9.9445515911282562E-2</v>
      </c>
      <c r="O175" s="268">
        <f>('Pivot Table for Data Exchange'!$G$361)*100</f>
        <v>4.4720347155255542</v>
      </c>
      <c r="P175" s="260">
        <f>('Pivot Table for Data Exchange'!$G$364)*100</f>
        <v>0</v>
      </c>
      <c r="Q175" s="265">
        <f t="shared" si="24"/>
        <v>100</v>
      </c>
      <c r="R175" s="265">
        <f t="shared" si="25"/>
        <v>100</v>
      </c>
      <c r="S175" s="314"/>
      <c r="T175" s="314"/>
      <c r="U175" s="314"/>
      <c r="V175" s="314"/>
      <c r="W175" s="314"/>
      <c r="X175" s="314"/>
      <c r="Y175" s="314"/>
      <c r="Z175" s="314"/>
      <c r="AA175" s="314"/>
      <c r="AB175" s="314"/>
      <c r="AC175" s="314"/>
      <c r="AD175" s="314"/>
      <c r="AE175" s="314"/>
      <c r="AF175" s="314"/>
      <c r="AG175" s="314"/>
      <c r="AH175" s="314"/>
      <c r="AI175" s="314"/>
      <c r="AJ175" s="314"/>
      <c r="AK175" s="314"/>
      <c r="AL175" s="314"/>
      <c r="AM175" s="314"/>
      <c r="AN175" s="314"/>
      <c r="AO175" s="314"/>
    </row>
    <row r="176" spans="1:41" ht="15.75" customHeight="1">
      <c r="A176" s="231" t="s">
        <v>676</v>
      </c>
      <c r="B176" s="260">
        <f>('Pivot Table for Data Exchange'!$G$367)*100</f>
        <v>72.572000260046082</v>
      </c>
      <c r="C176" s="260">
        <f>('Pivot Table for Data Exchange'!$G$370)*100</f>
        <v>1.2807269732802646</v>
      </c>
      <c r="D176" s="261">
        <f>SUM(E176:G176)</f>
        <v>26.147272766673645</v>
      </c>
      <c r="E176" s="260">
        <f>('Pivot Table for Data Exchange'!$G$373)*100</f>
        <v>19.561244464991294</v>
      </c>
      <c r="F176" s="260">
        <f>('Pivot Table for Data Exchange'!$G$376)*100</f>
        <v>5.6202460324913144</v>
      </c>
      <c r="G176" s="268">
        <f>('Pivot Table for Data Exchange'!$G$379)*100</f>
        <v>0.96578226919104004</v>
      </c>
      <c r="H176" s="260">
        <f>('Pivot Table for Data Exchange'!$G$382)*100</f>
        <v>0</v>
      </c>
      <c r="I176" s="266" t="s">
        <v>676</v>
      </c>
      <c r="J176" s="260">
        <f>('Pivot Table for Data Exchange'!$G$385)*100</f>
        <v>45.487804878048784</v>
      </c>
      <c r="K176" s="260">
        <f>('Pivot Table for Data Exchange'!$G$388)*100</f>
        <v>0.24390243902439024</v>
      </c>
      <c r="L176" s="261">
        <f>SUM(M176:O176)</f>
        <v>54.268292682926834</v>
      </c>
      <c r="M176" s="260">
        <f>('Pivot Table for Data Exchange'!$G$391)*100</f>
        <v>46.017661900756941</v>
      </c>
      <c r="N176" s="260">
        <f>('Pivot Table for Data Exchange'!$G$394)*100</f>
        <v>4.7855340622371738</v>
      </c>
      <c r="O176" s="268">
        <f>('Pivot Table for Data Exchange'!$G$397)*100</f>
        <v>3.4650967199327165</v>
      </c>
      <c r="P176" s="260">
        <f>('Pivot Table for Data Exchange'!$G$400)*100</f>
        <v>0</v>
      </c>
      <c r="Q176" s="265">
        <f t="shared" si="24"/>
        <v>100</v>
      </c>
      <c r="R176" s="265">
        <f t="shared" si="25"/>
        <v>100</v>
      </c>
      <c r="S176" s="314"/>
      <c r="T176" s="318"/>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row>
    <row r="177" spans="1:41" ht="15.75" customHeight="1">
      <c r="A177" s="231" t="s">
        <v>677</v>
      </c>
      <c r="B177" s="260">
        <f>('Pivot Table for Data Exchange'!$G$403)*100</f>
        <v>88.24882166395129</v>
      </c>
      <c r="C177" s="260">
        <f>('Pivot Table for Data Exchange'!$G$406)*100</f>
        <v>0.88702053623509047</v>
      </c>
      <c r="D177" s="261">
        <f>SUM(E177:G177)</f>
        <v>10.864157799813611</v>
      </c>
      <c r="E177" s="260">
        <f>('Pivot Table for Data Exchange'!$G$409)*100</f>
        <v>10.864157799813611</v>
      </c>
      <c r="F177" s="260">
        <f>('Pivot Table for Data Exchange'!$G$412)*100</f>
        <v>0</v>
      </c>
      <c r="G177" s="268">
        <f>('Pivot Table for Data Exchange'!$G$415)*100</f>
        <v>0</v>
      </c>
      <c r="H177" s="260">
        <f>('Pivot Table for Data Exchange'!$G$418)*100</f>
        <v>0</v>
      </c>
      <c r="I177" s="266" t="s">
        <v>677</v>
      </c>
      <c r="J177" s="260">
        <f>('Pivot Table for Data Exchange'!$G$421)*100</f>
        <v>69.273787019533714</v>
      </c>
      <c r="K177" s="260">
        <f>('Pivot Table for Data Exchange'!$G$424)*100</f>
        <v>0</v>
      </c>
      <c r="L177" s="261">
        <f>SUM(M177:O177)</f>
        <v>30.726212980466286</v>
      </c>
      <c r="M177" s="260">
        <f>('Pivot Table for Data Exchange'!$G$427)*100</f>
        <v>30.537177063642091</v>
      </c>
      <c r="N177" s="260">
        <f>('Pivot Table for Data Exchange'!$G$430)*100</f>
        <v>0.1890359168241966</v>
      </c>
      <c r="O177" s="268">
        <f>('Pivot Table for Data Exchange'!$G$433)*100</f>
        <v>0</v>
      </c>
      <c r="P177" s="260">
        <f>('Pivot Table for Data Exchange'!$G$436)*100</f>
        <v>0</v>
      </c>
      <c r="Q177" s="265">
        <f t="shared" si="24"/>
        <v>99.999999999999986</v>
      </c>
      <c r="R177" s="265">
        <f t="shared" si="25"/>
        <v>100</v>
      </c>
      <c r="S177" s="314"/>
      <c r="T177" s="314"/>
      <c r="U177" s="314"/>
      <c r="V177" s="314"/>
      <c r="W177" s="314"/>
      <c r="X177" s="314"/>
      <c r="Y177" s="314"/>
      <c r="Z177" s="314"/>
      <c r="AA177" s="314"/>
      <c r="AB177" s="314"/>
      <c r="AC177" s="314"/>
      <c r="AD177" s="314"/>
      <c r="AE177" s="314"/>
      <c r="AF177" s="314"/>
      <c r="AG177" s="314"/>
      <c r="AH177" s="314"/>
      <c r="AI177" s="314"/>
      <c r="AJ177" s="314"/>
      <c r="AK177" s="314"/>
      <c r="AL177" s="314"/>
      <c r="AM177" s="314"/>
      <c r="AN177" s="314"/>
      <c r="AO177" s="314"/>
    </row>
    <row r="178" spans="1:41" ht="11.25" customHeight="1">
      <c r="B178" s="260"/>
      <c r="C178" s="260"/>
      <c r="D178" s="261"/>
      <c r="E178" s="260"/>
      <c r="F178" s="260"/>
      <c r="G178" s="268"/>
      <c r="H178" s="260"/>
      <c r="I178" s="266"/>
      <c r="J178" s="260"/>
      <c r="K178" s="260"/>
      <c r="L178" s="261"/>
      <c r="M178" s="260"/>
      <c r="N178" s="260"/>
      <c r="O178" s="268"/>
      <c r="P178" s="260"/>
      <c r="Q178" s="265">
        <f t="shared" si="24"/>
        <v>0</v>
      </c>
      <c r="R178" s="265">
        <f t="shared" si="25"/>
        <v>0</v>
      </c>
      <c r="S178" s="314"/>
      <c r="T178" s="314"/>
      <c r="U178" s="314"/>
      <c r="V178" s="314"/>
      <c r="W178" s="314"/>
      <c r="X178" s="314"/>
      <c r="Y178" s="314"/>
      <c r="Z178" s="314"/>
      <c r="AA178" s="314"/>
      <c r="AB178" s="314"/>
      <c r="AC178" s="314"/>
      <c r="AD178" s="314"/>
      <c r="AE178" s="314"/>
      <c r="AF178" s="314"/>
      <c r="AG178" s="314"/>
      <c r="AH178" s="314"/>
      <c r="AI178" s="314"/>
      <c r="AJ178" s="314"/>
      <c r="AK178" s="314"/>
      <c r="AL178" s="314"/>
      <c r="AM178" s="314"/>
      <c r="AN178" s="314"/>
      <c r="AO178" s="314"/>
    </row>
    <row r="179" spans="1:41" ht="15.75" customHeight="1">
      <c r="A179" s="231" t="s">
        <v>678</v>
      </c>
      <c r="B179" s="260">
        <f>('Pivot Table for Data Exchange'!$G$439)*100</f>
        <v>73.189299773720592</v>
      </c>
      <c r="C179" s="260">
        <f>('Pivot Table for Data Exchange'!$G$442)*100</f>
        <v>9.0741142556027405</v>
      </c>
      <c r="D179" s="261">
        <f>SUM(E179:G179)</f>
        <v>17.585319735904033</v>
      </c>
      <c r="E179" s="260">
        <f>('Pivot Table for Data Exchange'!$G$445)*100</f>
        <v>14.925761755680234</v>
      </c>
      <c r="F179" s="260">
        <f>('Pivot Table for Data Exchange'!$G$448)*100</f>
        <v>2.6465391649359908</v>
      </c>
      <c r="G179" s="267">
        <f>('Pivot Table for Data Exchange'!$G$451)*100</f>
        <v>1.3018815287808809E-2</v>
      </c>
      <c r="H179" s="260">
        <f>('Pivot Table for Data Exchange'!$G$454)*100</f>
        <v>0.1512662347726357</v>
      </c>
      <c r="I179" s="266" t="s">
        <v>678</v>
      </c>
      <c r="J179" s="260">
        <f>('Pivot Table for Data Exchange'!$G$457)*100</f>
        <v>9.623059866962306</v>
      </c>
      <c r="K179" s="260">
        <f>('Pivot Table for Data Exchange'!$G$460)*100</f>
        <v>4.4345898004434586E-2</v>
      </c>
      <c r="L179" s="261">
        <f>SUM(M179:O179)</f>
        <v>90.332594235033255</v>
      </c>
      <c r="M179" s="260">
        <f>('Pivot Table for Data Exchange'!$G$463)*100</f>
        <v>90.332594235033255</v>
      </c>
      <c r="N179" s="272">
        <f>('Pivot Table for Data Exchange'!$G$466)*100</f>
        <v>0</v>
      </c>
      <c r="O179" s="268">
        <f>('Pivot Table for Data Exchange'!$G$469)*100</f>
        <v>0</v>
      </c>
      <c r="P179" s="260">
        <f>('Pivot Table for Data Exchange'!$G$472)*100</f>
        <v>0</v>
      </c>
      <c r="Q179" s="265">
        <f t="shared" si="24"/>
        <v>100</v>
      </c>
      <c r="R179" s="265">
        <f t="shared" si="25"/>
        <v>100</v>
      </c>
      <c r="S179" s="314"/>
      <c r="T179" s="314"/>
      <c r="U179" s="314"/>
      <c r="V179" s="314"/>
      <c r="W179" s="314"/>
      <c r="X179" s="314"/>
      <c r="Y179" s="314"/>
      <c r="Z179" s="314"/>
      <c r="AA179" s="314"/>
      <c r="AB179" s="314"/>
      <c r="AC179" s="314"/>
      <c r="AD179" s="314"/>
      <c r="AE179" s="314"/>
      <c r="AF179" s="314"/>
      <c r="AG179" s="314"/>
      <c r="AH179" s="314"/>
      <c r="AI179" s="314"/>
      <c r="AJ179" s="314"/>
      <c r="AK179" s="314"/>
      <c r="AL179" s="314"/>
      <c r="AM179" s="314"/>
      <c r="AN179" s="314"/>
      <c r="AO179" s="314"/>
    </row>
    <row r="180" spans="1:41" ht="15.75" customHeight="1">
      <c r="A180" s="231" t="s">
        <v>679</v>
      </c>
      <c r="B180" s="260">
        <f>('Pivot Table for Data Exchange'!$G$475)*100</f>
        <v>0</v>
      </c>
      <c r="C180" s="260">
        <f>('Pivot Table for Data Exchange'!$G$478)*100</f>
        <v>0</v>
      </c>
      <c r="D180" s="261">
        <f>SUM(E180:G180)</f>
        <v>0</v>
      </c>
      <c r="E180" s="260">
        <f>('Pivot Table for Data Exchange'!$G$481)*100</f>
        <v>0</v>
      </c>
      <c r="F180" s="260">
        <f>('Pivot Table for Data Exchange'!$G$484)*100</f>
        <v>0</v>
      </c>
      <c r="G180" s="268">
        <f>('Pivot Table for Data Exchange'!$G$487)*100</f>
        <v>0</v>
      </c>
      <c r="H180" s="260">
        <f>('Pivot Table for Data Exchange'!$G$490)*100</f>
        <v>0</v>
      </c>
      <c r="I180" s="266" t="s">
        <v>679</v>
      </c>
      <c r="J180" s="260">
        <f>('Pivot Table for Data Exchange'!$G$493)*100</f>
        <v>0</v>
      </c>
      <c r="K180" s="260">
        <f>('Pivot Table for Data Exchange'!$G$496)*100</f>
        <v>0</v>
      </c>
      <c r="L180" s="261">
        <f>SUM(M180:O180)</f>
        <v>0</v>
      </c>
      <c r="M180" s="260">
        <f>('Pivot Table for Data Exchange'!$G$499)*100</f>
        <v>0</v>
      </c>
      <c r="N180" s="260">
        <f>('Pivot Table for Data Exchange'!$G$502)*100</f>
        <v>0</v>
      </c>
      <c r="O180" s="268">
        <f>('Pivot Table for Data Exchange'!$G$505)*100</f>
        <v>0</v>
      </c>
      <c r="P180" s="260">
        <f>('Pivot Table for Data Exchange'!$G$508)*100</f>
        <v>0</v>
      </c>
      <c r="Q180" s="265">
        <f t="shared" si="24"/>
        <v>0</v>
      </c>
      <c r="R180" s="265">
        <f t="shared" si="25"/>
        <v>0</v>
      </c>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c r="AN180" s="314"/>
      <c r="AO180" s="314"/>
    </row>
    <row r="181" spans="1:41" ht="15.75" customHeight="1">
      <c r="A181" s="231" t="s">
        <v>680</v>
      </c>
      <c r="B181" s="260">
        <f>('Pivot Table for Data Exchange'!$G$511)*100</f>
        <v>99.433211112778835</v>
      </c>
      <c r="C181" s="260">
        <f>('Pivot Table for Data Exchange'!$G$514)*100</f>
        <v>0.48530851755759019</v>
      </c>
      <c r="D181" s="261">
        <f>SUM(E181:G181)</f>
        <v>8.1480369663571847E-2</v>
      </c>
      <c r="E181" s="260">
        <f>('Pivot Table for Data Exchange'!$G$517)*100</f>
        <v>8.1480369663571847E-2</v>
      </c>
      <c r="F181" s="260">
        <f>('Pivot Table for Data Exchange'!$G$520)*100</f>
        <v>0</v>
      </c>
      <c r="G181" s="268">
        <f>('Pivot Table for Data Exchange'!$G$523)*100</f>
        <v>0</v>
      </c>
      <c r="H181" s="260">
        <f>('Pivot Table for Data Exchange'!$G$526)*100</f>
        <v>0</v>
      </c>
      <c r="I181" s="266" t="s">
        <v>680</v>
      </c>
      <c r="J181" s="260">
        <f>('Pivot Table for Data Exchange'!$G$529)*100</f>
        <v>100</v>
      </c>
      <c r="K181" s="260">
        <f>('Pivot Table for Data Exchange'!$G$532)*100</f>
        <v>0</v>
      </c>
      <c r="L181" s="261">
        <f>SUM(M181:O181)</f>
        <v>0</v>
      </c>
      <c r="M181" s="260">
        <f>('Pivot Table for Data Exchange'!$G$535)*100</f>
        <v>0</v>
      </c>
      <c r="N181" s="260">
        <f>('Pivot Table for Data Exchange'!$G$538)*100</f>
        <v>0</v>
      </c>
      <c r="O181" s="268">
        <f>('Pivot Table for Data Exchange'!$G$541)*100</f>
        <v>0</v>
      </c>
      <c r="P181" s="260">
        <f>('Pivot Table for Data Exchange'!$G$544)*100</f>
        <v>0</v>
      </c>
      <c r="Q181" s="265">
        <f t="shared" si="24"/>
        <v>99.999999999999986</v>
      </c>
      <c r="R181" s="265">
        <f t="shared" si="25"/>
        <v>100</v>
      </c>
      <c r="S181" s="314"/>
      <c r="T181" s="314"/>
      <c r="U181" s="314"/>
      <c r="V181" s="314"/>
      <c r="W181" s="314"/>
      <c r="X181" s="314"/>
      <c r="Y181" s="314"/>
      <c r="Z181" s="314"/>
      <c r="AA181" s="314"/>
      <c r="AB181" s="314"/>
      <c r="AC181" s="314"/>
      <c r="AD181" s="314"/>
      <c r="AE181" s="314"/>
      <c r="AF181" s="314"/>
      <c r="AG181" s="314"/>
      <c r="AH181" s="314"/>
      <c r="AI181" s="314"/>
      <c r="AJ181" s="314"/>
      <c r="AK181" s="314"/>
      <c r="AL181" s="314"/>
      <c r="AM181" s="314"/>
      <c r="AN181" s="314"/>
      <c r="AO181" s="314"/>
    </row>
    <row r="182" spans="1:41" ht="15.75" customHeight="1">
      <c r="A182" s="237" t="s">
        <v>681</v>
      </c>
      <c r="B182" s="273">
        <f>('Pivot Table for Data Exchange'!$G$547)*100</f>
        <v>78.407291681262166</v>
      </c>
      <c r="C182" s="273">
        <f>('Pivot Table for Data Exchange'!$G$550)*100</f>
        <v>2.3963485546946153</v>
      </c>
      <c r="D182" s="274">
        <f>SUM(E182:G182)</f>
        <v>19.196359764043212</v>
      </c>
      <c r="E182" s="273">
        <f>('Pivot Table for Data Exchange'!$G$553)*100</f>
        <v>18.719261864394905</v>
      </c>
      <c r="F182" s="273">
        <f>('Pivot Table for Data Exchange'!$G$556)*100</f>
        <v>0.47499614678641983</v>
      </c>
      <c r="G182" s="275">
        <f>('Pivot Table for Data Exchange'!$G$559)*100</f>
        <v>2.1017528618868138E-3</v>
      </c>
      <c r="H182" s="273">
        <f>('Pivot Table for Data Exchange'!$G$562)*100</f>
        <v>0</v>
      </c>
      <c r="I182" s="276" t="s">
        <v>681</v>
      </c>
      <c r="J182" s="273">
        <f>('Pivot Table for Data Exchange'!$G$565)*100</f>
        <v>39.282775347568105</v>
      </c>
      <c r="K182" s="273">
        <f>('Pivot Table for Data Exchange'!$G$568)*100</f>
        <v>3.4302048594568841</v>
      </c>
      <c r="L182" s="274">
        <f>SUM(M182:O182)</f>
        <v>57.287019792975016</v>
      </c>
      <c r="M182" s="273">
        <f>('Pivot Table for Data Exchange'!$G$571)*100</f>
        <v>57.287019792975016</v>
      </c>
      <c r="N182" s="273">
        <f>('Pivot Table for Data Exchange'!$G$574)*100</f>
        <v>0</v>
      </c>
      <c r="O182" s="275">
        <f>('Pivot Table for Data Exchange'!$G$577)*100</f>
        <v>0</v>
      </c>
      <c r="P182" s="273">
        <f>('Pivot Table for Data Exchange'!$G$580)*100</f>
        <v>0</v>
      </c>
      <c r="Q182" s="265">
        <f t="shared" si="24"/>
        <v>99.999999999999986</v>
      </c>
      <c r="R182" s="265">
        <f t="shared" si="25"/>
        <v>100</v>
      </c>
      <c r="S182" s="314"/>
      <c r="T182" s="314"/>
      <c r="U182" s="314"/>
      <c r="V182" s="314"/>
      <c r="W182" s="314"/>
      <c r="X182" s="314"/>
      <c r="Y182" s="314"/>
      <c r="Z182" s="314"/>
      <c r="AA182" s="314"/>
      <c r="AB182" s="314"/>
      <c r="AC182" s="314"/>
      <c r="AD182" s="314"/>
      <c r="AE182" s="314"/>
      <c r="AF182" s="314"/>
      <c r="AG182" s="314"/>
      <c r="AH182" s="314"/>
      <c r="AI182" s="314"/>
      <c r="AJ182" s="314"/>
      <c r="AK182" s="314"/>
      <c r="AL182" s="314"/>
      <c r="AM182" s="314"/>
      <c r="AN182" s="314"/>
      <c r="AO182" s="314"/>
    </row>
    <row r="183" spans="1:41" s="304" customFormat="1" ht="13.5" customHeight="1">
      <c r="A183" s="279" t="s">
        <v>706</v>
      </c>
      <c r="B183" s="280"/>
      <c r="C183" s="280"/>
      <c r="D183" s="281"/>
      <c r="E183" s="280"/>
      <c r="F183" s="281"/>
      <c r="G183" s="281"/>
      <c r="H183" s="280"/>
      <c r="I183" s="279" t="s">
        <v>706</v>
      </c>
      <c r="J183" s="280"/>
      <c r="K183" s="280"/>
      <c r="L183" s="281"/>
      <c r="M183" s="280"/>
      <c r="N183" s="281"/>
      <c r="O183" s="281"/>
      <c r="P183" s="280"/>
      <c r="Q183" s="265">
        <f t="shared" si="24"/>
        <v>0</v>
      </c>
      <c r="R183" s="265">
        <f t="shared" si="25"/>
        <v>0</v>
      </c>
      <c r="S183" s="317"/>
      <c r="T183" s="317"/>
      <c r="U183" s="317"/>
      <c r="V183" s="317"/>
      <c r="W183" s="317"/>
      <c r="X183" s="317"/>
      <c r="Y183" s="317"/>
      <c r="Z183" s="317"/>
      <c r="AA183" s="317"/>
      <c r="AB183" s="317"/>
      <c r="AC183" s="317"/>
      <c r="AD183" s="317"/>
      <c r="AE183" s="317"/>
      <c r="AF183" s="317"/>
      <c r="AG183" s="317"/>
      <c r="AH183" s="317"/>
      <c r="AI183" s="317"/>
      <c r="AJ183" s="317"/>
      <c r="AK183" s="317"/>
      <c r="AL183" s="317"/>
      <c r="AM183" s="317"/>
      <c r="AN183" s="317"/>
      <c r="AO183" s="317"/>
    </row>
    <row r="184" spans="1:41" s="304" customFormat="1" ht="11.25" customHeight="1">
      <c r="A184" s="283"/>
      <c r="B184" s="292"/>
      <c r="C184" s="292"/>
      <c r="D184" s="292"/>
      <c r="E184" s="292"/>
      <c r="F184" s="292"/>
      <c r="G184" s="292"/>
      <c r="H184" s="292"/>
      <c r="I184" s="283"/>
      <c r="J184" s="292"/>
      <c r="K184" s="292"/>
      <c r="L184" s="292"/>
      <c r="M184" s="292"/>
      <c r="N184" s="292"/>
      <c r="O184" s="292"/>
      <c r="P184" s="292"/>
      <c r="Q184" s="265">
        <f t="shared" si="24"/>
        <v>0</v>
      </c>
      <c r="R184" s="265">
        <f t="shared" si="25"/>
        <v>0</v>
      </c>
      <c r="S184" s="317"/>
      <c r="T184" s="317"/>
      <c r="U184" s="317"/>
      <c r="V184" s="317"/>
      <c r="W184" s="317"/>
      <c r="X184" s="317"/>
      <c r="Y184" s="317"/>
      <c r="Z184" s="317"/>
      <c r="AA184" s="317"/>
      <c r="AB184" s="317"/>
      <c r="AC184" s="317"/>
      <c r="AD184" s="317"/>
      <c r="AE184" s="317"/>
      <c r="AF184" s="317"/>
      <c r="AG184" s="317"/>
      <c r="AH184" s="317"/>
      <c r="AI184" s="317"/>
      <c r="AJ184" s="317"/>
      <c r="AK184" s="317"/>
      <c r="AL184" s="317"/>
      <c r="AM184" s="317"/>
      <c r="AN184" s="317"/>
      <c r="AO184" s="317"/>
    </row>
    <row r="185" spans="1:41" s="304" customFormat="1" ht="13.5" customHeight="1">
      <c r="A185" s="289"/>
      <c r="B185" s="290"/>
      <c r="C185" s="278"/>
      <c r="D185" s="278"/>
      <c r="E185" s="278"/>
      <c r="F185" s="278"/>
      <c r="G185" s="278"/>
      <c r="H185" s="284" t="s">
        <v>839</v>
      </c>
      <c r="I185" s="289"/>
      <c r="J185" s="278"/>
      <c r="K185" s="278"/>
      <c r="L185" s="278"/>
      <c r="M185" s="278"/>
      <c r="N185" s="278"/>
      <c r="O185" s="278"/>
      <c r="P185" s="284" t="s">
        <v>839</v>
      </c>
      <c r="Q185" s="265">
        <f t="shared" si="24"/>
        <v>0</v>
      </c>
      <c r="R185" s="265">
        <f t="shared" si="25"/>
        <v>0</v>
      </c>
    </row>
    <row r="186" spans="1:41" ht="18">
      <c r="A186" s="226" t="s">
        <v>717</v>
      </c>
      <c r="B186" s="227"/>
      <c r="C186" s="227"/>
      <c r="D186" s="227"/>
      <c r="E186" s="227"/>
      <c r="F186" s="227"/>
      <c r="G186" s="227"/>
      <c r="H186" s="227"/>
      <c r="I186" s="226" t="s">
        <v>718</v>
      </c>
      <c r="J186" s="228"/>
      <c r="K186" s="228"/>
      <c r="L186" s="227"/>
      <c r="M186" s="228"/>
      <c r="N186" s="228"/>
      <c r="O186" s="228"/>
      <c r="P186" s="228"/>
      <c r="Q186" s="265">
        <f t="shared" si="24"/>
        <v>0</v>
      </c>
      <c r="R186" s="265">
        <f t="shared" si="25"/>
        <v>0</v>
      </c>
    </row>
    <row r="187" spans="1:41" ht="13">
      <c r="A187" s="232"/>
      <c r="B187" s="228"/>
      <c r="C187" s="228"/>
      <c r="D187" s="228"/>
      <c r="E187" s="228"/>
      <c r="F187" s="228"/>
      <c r="G187" s="228"/>
      <c r="H187" s="228"/>
      <c r="I187" s="232"/>
      <c r="J187" s="228"/>
      <c r="K187" s="228"/>
      <c r="L187" s="228"/>
      <c r="M187" s="228"/>
      <c r="N187" s="228"/>
      <c r="O187" s="228"/>
      <c r="P187" s="228"/>
      <c r="Q187" s="265">
        <f t="shared" si="24"/>
        <v>0</v>
      </c>
      <c r="R187" s="265">
        <f t="shared" si="25"/>
        <v>0</v>
      </c>
    </row>
    <row r="188" spans="1:41" ht="15.5">
      <c r="A188" s="234" t="s">
        <v>687</v>
      </c>
      <c r="B188" s="228"/>
      <c r="C188" s="228"/>
      <c r="D188" s="228"/>
      <c r="E188" s="228"/>
      <c r="F188" s="228"/>
      <c r="G188" s="228"/>
      <c r="H188" s="228"/>
      <c r="I188" s="234" t="s">
        <v>688</v>
      </c>
      <c r="J188" s="228"/>
      <c r="K188" s="228"/>
      <c r="L188" s="228"/>
      <c r="M188" s="228"/>
      <c r="N188" s="228"/>
      <c r="O188" s="228"/>
      <c r="P188" s="228"/>
      <c r="Q188" s="265">
        <f t="shared" si="24"/>
        <v>0</v>
      </c>
      <c r="R188" s="265">
        <f t="shared" si="25"/>
        <v>0</v>
      </c>
    </row>
    <row r="189" spans="1:41" ht="15.5">
      <c r="A189" s="234" t="s">
        <v>830</v>
      </c>
      <c r="B189" s="228"/>
      <c r="C189" s="228"/>
      <c r="D189" s="228"/>
      <c r="E189" s="228"/>
      <c r="F189" s="228"/>
      <c r="G189" s="228"/>
      <c r="H189" s="228"/>
      <c r="I189" s="234" t="s">
        <v>830</v>
      </c>
      <c r="J189" s="228"/>
      <c r="K189" s="228"/>
      <c r="L189" s="228"/>
      <c r="M189" s="228"/>
      <c r="N189" s="228"/>
      <c r="O189" s="228"/>
      <c r="P189" s="228"/>
      <c r="Q189" s="265">
        <f t="shared" si="24"/>
        <v>0</v>
      </c>
      <c r="R189" s="265">
        <f t="shared" si="25"/>
        <v>0</v>
      </c>
    </row>
    <row r="190" spans="1:41">
      <c r="A190" s="237"/>
      <c r="B190" s="238"/>
      <c r="C190" s="238"/>
      <c r="D190" s="238"/>
      <c r="E190" s="238"/>
      <c r="F190" s="238"/>
      <c r="G190" s="238"/>
      <c r="H190" s="238"/>
      <c r="I190" s="239"/>
      <c r="L190" s="240"/>
      <c r="P190" s="237"/>
      <c r="Q190" s="265">
        <f t="shared" si="24"/>
        <v>0</v>
      </c>
      <c r="R190" s="265">
        <f t="shared" si="25"/>
        <v>0</v>
      </c>
    </row>
    <row r="191" spans="1:41" s="258" customFormat="1">
      <c r="A191" s="242"/>
      <c r="B191" s="243" t="s">
        <v>689</v>
      </c>
      <c r="C191" s="243"/>
      <c r="D191" s="243"/>
      <c r="E191" s="243"/>
      <c r="F191" s="243"/>
      <c r="G191" s="243"/>
      <c r="H191" s="244"/>
      <c r="I191" s="242"/>
      <c r="J191" s="243" t="s">
        <v>689</v>
      </c>
      <c r="K191" s="243"/>
      <c r="L191" s="243"/>
      <c r="M191" s="243"/>
      <c r="N191" s="243"/>
      <c r="O191" s="243"/>
      <c r="P191" s="244"/>
      <c r="Q191" s="265">
        <f t="shared" si="24"/>
        <v>0</v>
      </c>
      <c r="R191" s="265">
        <f t="shared" si="25"/>
        <v>0</v>
      </c>
    </row>
    <row r="192" spans="1:41" s="258" customFormat="1">
      <c r="A192" s="242"/>
      <c r="B192" s="243" t="s">
        <v>690</v>
      </c>
      <c r="C192" s="243"/>
      <c r="D192" s="485" t="s">
        <v>691</v>
      </c>
      <c r="E192" s="483"/>
      <c r="F192" s="483"/>
      <c r="G192" s="483"/>
      <c r="H192" s="250" t="s">
        <v>581</v>
      </c>
      <c r="I192" s="242"/>
      <c r="J192" s="243" t="s">
        <v>690</v>
      </c>
      <c r="K192" s="243"/>
      <c r="L192" s="485" t="s">
        <v>691</v>
      </c>
      <c r="M192" s="483"/>
      <c r="N192" s="483"/>
      <c r="O192" s="483"/>
      <c r="P192" s="250" t="s">
        <v>581</v>
      </c>
      <c r="Q192" s="265">
        <f t="shared" si="24"/>
        <v>0</v>
      </c>
      <c r="R192" s="265">
        <f t="shared" si="25"/>
        <v>0</v>
      </c>
    </row>
    <row r="193" spans="1:41" s="258" customFormat="1" ht="40.5" customHeight="1">
      <c r="A193" s="242"/>
      <c r="B193" s="251" t="s">
        <v>692</v>
      </c>
      <c r="C193" s="252" t="s">
        <v>693</v>
      </c>
      <c r="D193" s="253" t="s">
        <v>694</v>
      </c>
      <c r="E193" s="254" t="s">
        <v>8</v>
      </c>
      <c r="F193" s="251" t="s">
        <v>695</v>
      </c>
      <c r="G193" s="255" t="s">
        <v>704</v>
      </c>
      <c r="H193" s="256" t="s">
        <v>697</v>
      </c>
      <c r="I193" s="242"/>
      <c r="J193" s="251" t="s">
        <v>692</v>
      </c>
      <c r="K193" s="252" t="s">
        <v>693</v>
      </c>
      <c r="L193" s="253" t="s">
        <v>694</v>
      </c>
      <c r="M193" s="254" t="s">
        <v>8</v>
      </c>
      <c r="N193" s="251" t="s">
        <v>695</v>
      </c>
      <c r="O193" s="255" t="s">
        <v>704</v>
      </c>
      <c r="P193" s="256" t="s">
        <v>697</v>
      </c>
      <c r="Q193" s="265">
        <f t="shared" si="24"/>
        <v>0</v>
      </c>
      <c r="R193" s="265">
        <f t="shared" si="25"/>
        <v>0</v>
      </c>
      <c r="T193" s="257"/>
    </row>
    <row r="194" spans="1:41" ht="15.75" customHeight="1">
      <c r="A194" s="286" t="s">
        <v>666</v>
      </c>
      <c r="B194" s="313">
        <f>('Pivot Table for Data Exchange'!$H$7)*100</f>
        <v>15.288721077184716</v>
      </c>
      <c r="C194" s="260">
        <f>('Pivot Table for Data Exchange'!$H$10)*100</f>
        <v>2.6789196948184668</v>
      </c>
      <c r="D194" s="261">
        <f>SUM(E194:G194)</f>
        <v>82.032359227996821</v>
      </c>
      <c r="E194" s="260">
        <f>('Pivot Table for Data Exchange'!$H$13)*100</f>
        <v>82.032359227996821</v>
      </c>
      <c r="F194" s="260">
        <f>('Pivot Table for Data Exchange'!$H$16)*100</f>
        <v>0</v>
      </c>
      <c r="G194" s="264">
        <f>('Pivot Table for Data Exchange'!$H$19)*100</f>
        <v>0</v>
      </c>
      <c r="H194" s="260">
        <f>('Pivot Table for Data Exchange'!$H$22)*100</f>
        <v>0</v>
      </c>
      <c r="I194" s="263" t="s">
        <v>666</v>
      </c>
      <c r="J194" s="260">
        <f>('Pivot Table for Data Exchange'!$H$25)*100</f>
        <v>0.6211180124223602</v>
      </c>
      <c r="K194" s="260">
        <f>('Pivot Table for Data Exchange'!$H$28)*100</f>
        <v>0</v>
      </c>
      <c r="L194" s="261">
        <f>SUM(M194:O194)</f>
        <v>99.378881987577643</v>
      </c>
      <c r="M194" s="260">
        <f>('Pivot Table for Data Exchange'!$H$31)*100</f>
        <v>99.378881987577643</v>
      </c>
      <c r="N194" s="260">
        <f>('Pivot Table for Data Exchange'!$H$34)*100</f>
        <v>0</v>
      </c>
      <c r="O194" s="264">
        <f>('Pivot Table for Data Exchange'!$H$37)*100</f>
        <v>0</v>
      </c>
      <c r="P194" s="260">
        <f>('Pivot Table for Data Exchange'!$H$40)*100</f>
        <v>0</v>
      </c>
      <c r="Q194" s="265">
        <f t="shared" si="24"/>
        <v>100</v>
      </c>
      <c r="R194" s="265">
        <f t="shared" si="25"/>
        <v>100</v>
      </c>
      <c r="S194" s="314"/>
      <c r="T194" s="314"/>
      <c r="U194" s="314"/>
      <c r="V194" s="314"/>
      <c r="W194" s="314"/>
      <c r="X194" s="314"/>
      <c r="Y194" s="314"/>
      <c r="Z194" s="314"/>
      <c r="AA194" s="314"/>
      <c r="AB194" s="314"/>
      <c r="AC194" s="314"/>
      <c r="AD194" s="314"/>
      <c r="AE194" s="314"/>
      <c r="AF194" s="314"/>
      <c r="AG194" s="314"/>
      <c r="AH194" s="314"/>
      <c r="AI194" s="314"/>
      <c r="AJ194" s="314"/>
      <c r="AK194" s="314"/>
      <c r="AL194" s="314"/>
      <c r="AM194" s="314"/>
      <c r="AN194" s="314"/>
      <c r="AO194" s="314"/>
    </row>
    <row r="195" spans="1:41" ht="15.75" customHeight="1">
      <c r="A195" s="231" t="s">
        <v>667</v>
      </c>
      <c r="B195" s="260">
        <f>('Pivot Table for Data Exchange'!$H$43)*100</f>
        <v>67.936266135991403</v>
      </c>
      <c r="C195" s="260">
        <f>('Pivot Table for Data Exchange'!$H$46)*100</f>
        <v>7.0654949544758106</v>
      </c>
      <c r="D195" s="261">
        <f t="shared" ref="D195:D197" si="30">SUM(E195:G195)</f>
        <v>24.998238909532784</v>
      </c>
      <c r="E195" s="260">
        <f>('Pivot Table for Data Exchange'!$H$49)*100</f>
        <v>24.992955638131132</v>
      </c>
      <c r="F195" s="260">
        <f>('Pivot Table for Data Exchange'!$H$52)*100</f>
        <v>5.2832714016519036E-3</v>
      </c>
      <c r="G195" s="268">
        <f>('Pivot Table for Data Exchange'!$H$55)*100</f>
        <v>0</v>
      </c>
      <c r="H195" s="260">
        <f>('Pivot Table for Data Exchange'!$H$58)*100</f>
        <v>0</v>
      </c>
      <c r="I195" s="266" t="s">
        <v>667</v>
      </c>
      <c r="J195" s="260">
        <f>('Pivot Table for Data Exchange'!$H$61)*100</f>
        <v>60.272684532204977</v>
      </c>
      <c r="K195" s="260">
        <f>('Pivot Table for Data Exchange'!$H$64)*100</f>
        <v>0</v>
      </c>
      <c r="L195" s="261">
        <f t="shared" ref="L195:L197" si="31">SUM(M195:O195)</f>
        <v>39.727315467795016</v>
      </c>
      <c r="M195" s="260">
        <f>('Pivot Table for Data Exchange'!$H$67)*100</f>
        <v>39.727315467795016</v>
      </c>
      <c r="N195" s="260">
        <f>('Pivot Table for Data Exchange'!$H$70)*100</f>
        <v>0</v>
      </c>
      <c r="O195" s="268">
        <f>('Pivot Table for Data Exchange'!$H$73)*100</f>
        <v>0</v>
      </c>
      <c r="P195" s="260">
        <f>('Pivot Table for Data Exchange'!$H$76)*100</f>
        <v>0</v>
      </c>
      <c r="Q195" s="265">
        <f t="shared" si="24"/>
        <v>100</v>
      </c>
      <c r="R195" s="265">
        <f t="shared" si="25"/>
        <v>100</v>
      </c>
      <c r="S195" s="314"/>
      <c r="T195" s="314"/>
      <c r="U195" s="314"/>
      <c r="V195" s="314"/>
      <c r="W195" s="314"/>
      <c r="X195" s="314"/>
      <c r="Y195" s="314"/>
      <c r="Z195" s="314"/>
      <c r="AA195" s="314"/>
      <c r="AB195" s="314"/>
      <c r="AC195" s="314"/>
      <c r="AD195" s="314"/>
      <c r="AE195" s="314"/>
      <c r="AF195" s="314"/>
      <c r="AG195" s="314"/>
      <c r="AH195" s="314"/>
      <c r="AI195" s="314"/>
      <c r="AJ195" s="314"/>
      <c r="AK195" s="314"/>
      <c r="AL195" s="314"/>
      <c r="AM195" s="314"/>
      <c r="AN195" s="314"/>
      <c r="AO195" s="314"/>
    </row>
    <row r="196" spans="1:41" ht="15.75" customHeight="1">
      <c r="A196" s="231" t="s">
        <v>668</v>
      </c>
      <c r="B196" s="260">
        <f>('Pivot Table for Data Exchange'!$H$79)*100</f>
        <v>0</v>
      </c>
      <c r="C196" s="260">
        <f>('Pivot Table for Data Exchange'!$H$82)*100</f>
        <v>0</v>
      </c>
      <c r="D196" s="261">
        <f t="shared" si="30"/>
        <v>0</v>
      </c>
      <c r="E196" s="260">
        <f>('Pivot Table for Data Exchange'!$H$85)*100</f>
        <v>0</v>
      </c>
      <c r="F196" s="260">
        <f>('Pivot Table for Data Exchange'!$H$88)*100</f>
        <v>0</v>
      </c>
      <c r="G196" s="268">
        <f>('Pivot Table for Data Exchange'!$H$91)*100</f>
        <v>0</v>
      </c>
      <c r="H196" s="260">
        <f>('Pivot Table for Data Exchange'!$H$94)*100</f>
        <v>0</v>
      </c>
      <c r="I196" s="266" t="s">
        <v>668</v>
      </c>
      <c r="J196" s="260">
        <f>('Pivot Table for Data Exchange'!$H$97)*100</f>
        <v>0</v>
      </c>
      <c r="K196" s="260">
        <f>('Pivot Table for Data Exchange'!$H$100)*100</f>
        <v>0</v>
      </c>
      <c r="L196" s="261">
        <f t="shared" si="31"/>
        <v>0</v>
      </c>
      <c r="M196" s="260">
        <f>('Pivot Table for Data Exchange'!$H$103)*100</f>
        <v>0</v>
      </c>
      <c r="N196" s="260">
        <f>('Pivot Table for Data Exchange'!$H$106)*100</f>
        <v>0</v>
      </c>
      <c r="O196" s="268">
        <f>('Pivot Table for Data Exchange'!$H$109)*100</f>
        <v>0</v>
      </c>
      <c r="P196" s="260">
        <f>('Pivot Table for Data Exchange'!$H$112)*100</f>
        <v>0</v>
      </c>
      <c r="Q196" s="265">
        <f t="shared" si="24"/>
        <v>0</v>
      </c>
      <c r="R196" s="265">
        <f t="shared" si="25"/>
        <v>0</v>
      </c>
      <c r="S196" s="314"/>
      <c r="T196" s="318"/>
      <c r="U196" s="314"/>
      <c r="V196" s="314"/>
      <c r="W196" s="314"/>
      <c r="X196" s="314"/>
      <c r="Y196" s="314"/>
      <c r="Z196" s="314"/>
      <c r="AA196" s="314"/>
      <c r="AB196" s="314"/>
      <c r="AC196" s="314"/>
      <c r="AD196" s="314"/>
      <c r="AE196" s="314"/>
      <c r="AF196" s="314"/>
      <c r="AG196" s="314"/>
      <c r="AH196" s="314"/>
      <c r="AI196" s="314"/>
      <c r="AJ196" s="314"/>
      <c r="AK196" s="314"/>
      <c r="AL196" s="314"/>
      <c r="AM196" s="314"/>
      <c r="AN196" s="314"/>
      <c r="AO196" s="314"/>
    </row>
    <row r="197" spans="1:41" ht="15.75" customHeight="1">
      <c r="A197" s="231" t="s">
        <v>705</v>
      </c>
      <c r="B197" s="260">
        <f>('Pivot Table for Data Exchange'!$H$115)*100</f>
        <v>0</v>
      </c>
      <c r="C197" s="260">
        <f>('Pivot Table for Data Exchange'!$H$118)*100</f>
        <v>0</v>
      </c>
      <c r="D197" s="261">
        <f t="shared" si="30"/>
        <v>0</v>
      </c>
      <c r="E197" s="260">
        <f>('Pivot Table for Data Exchange'!$H$121)*100</f>
        <v>0</v>
      </c>
      <c r="F197" s="260">
        <f>('Pivot Table for Data Exchange'!$H$124)*100</f>
        <v>0</v>
      </c>
      <c r="G197" s="268">
        <f>('Pivot Table for Data Exchange'!$H$127)*100</f>
        <v>0</v>
      </c>
      <c r="H197" s="260">
        <f>('Pivot Table for Data Exchange'!$H$130)*100</f>
        <v>0</v>
      </c>
      <c r="I197" s="266" t="s">
        <v>669</v>
      </c>
      <c r="J197" s="260">
        <f>('Pivot Table for Data Exchange'!$H$133)*100</f>
        <v>0</v>
      </c>
      <c r="K197" s="260">
        <f>('Pivot Table for Data Exchange'!$H$136)*100</f>
        <v>0</v>
      </c>
      <c r="L197" s="261">
        <f t="shared" si="31"/>
        <v>0</v>
      </c>
      <c r="M197" s="260">
        <f>('Pivot Table for Data Exchange'!$H$139)*100</f>
        <v>0</v>
      </c>
      <c r="N197" s="260">
        <f>('Pivot Table for Data Exchange'!$H$142)*100</f>
        <v>0</v>
      </c>
      <c r="O197" s="268">
        <f>('Pivot Table for Data Exchange'!$H$145)*100</f>
        <v>0</v>
      </c>
      <c r="P197" s="260">
        <f>('Pivot Table for Data Exchange'!$H$148)*100</f>
        <v>0</v>
      </c>
      <c r="Q197" s="265">
        <f t="shared" si="24"/>
        <v>0</v>
      </c>
      <c r="R197" s="265">
        <f t="shared" si="25"/>
        <v>0</v>
      </c>
      <c r="S197" s="314"/>
      <c r="U197" s="314"/>
      <c r="V197" s="314"/>
      <c r="W197" s="314"/>
      <c r="X197" s="314"/>
      <c r="Y197" s="314"/>
      <c r="Z197" s="314"/>
      <c r="AA197" s="314"/>
      <c r="AB197" s="314"/>
      <c r="AC197" s="314"/>
      <c r="AD197" s="314"/>
      <c r="AE197" s="314"/>
      <c r="AF197" s="314"/>
      <c r="AG197" s="314"/>
      <c r="AH197" s="314"/>
      <c r="AI197" s="314"/>
      <c r="AJ197" s="314"/>
      <c r="AK197" s="314"/>
      <c r="AL197" s="314"/>
      <c r="AM197" s="314"/>
      <c r="AN197" s="314"/>
      <c r="AO197" s="314"/>
    </row>
    <row r="198" spans="1:41" ht="15.75" customHeight="1">
      <c r="B198" s="260"/>
      <c r="C198" s="260"/>
      <c r="D198" s="261"/>
      <c r="E198" s="260"/>
      <c r="F198" s="260"/>
      <c r="G198" s="268"/>
      <c r="H198" s="260"/>
      <c r="I198" s="266"/>
      <c r="J198" s="260"/>
      <c r="K198" s="260"/>
      <c r="L198" s="261"/>
      <c r="M198" s="260"/>
      <c r="N198" s="260"/>
      <c r="O198" s="268"/>
      <c r="P198" s="260"/>
      <c r="Q198" s="265">
        <f t="shared" si="24"/>
        <v>0</v>
      </c>
      <c r="R198" s="265">
        <f t="shared" si="25"/>
        <v>0</v>
      </c>
      <c r="S198" s="314"/>
      <c r="U198" s="314"/>
      <c r="V198" s="314"/>
      <c r="W198" s="314"/>
      <c r="X198" s="314"/>
      <c r="Y198" s="314"/>
      <c r="Z198" s="314"/>
      <c r="AA198" s="314"/>
      <c r="AB198" s="314"/>
      <c r="AC198" s="314"/>
      <c r="AD198" s="314"/>
      <c r="AE198" s="314"/>
      <c r="AF198" s="314"/>
      <c r="AG198" s="314"/>
      <c r="AH198" s="314"/>
      <c r="AI198" s="314"/>
      <c r="AJ198" s="314"/>
      <c r="AK198" s="314"/>
      <c r="AL198" s="314"/>
      <c r="AM198" s="314"/>
      <c r="AN198" s="314"/>
      <c r="AO198" s="314"/>
    </row>
    <row r="199" spans="1:41" ht="15.75" customHeight="1">
      <c r="A199" s="231" t="s">
        <v>670</v>
      </c>
      <c r="B199" s="260">
        <f>('Pivot Table for Data Exchange'!$H$151)*100</f>
        <v>79.902168396168037</v>
      </c>
      <c r="C199" s="260">
        <f>('Pivot Table for Data Exchange'!$H$154)*100</f>
        <v>2.0927742458530005</v>
      </c>
      <c r="D199" s="261">
        <f t="shared" ref="D199:D200" si="32">SUM(E199:G199)</f>
        <v>18.005057357978963</v>
      </c>
      <c r="E199" s="260">
        <f>('Pivot Table for Data Exchange'!$H$157)*100</f>
        <v>17.889012906822664</v>
      </c>
      <c r="F199" s="260">
        <f>('Pivot Table for Data Exchange'!$H$160)*100</f>
        <v>0.11604445115630006</v>
      </c>
      <c r="G199" s="268">
        <f>('Pivot Table for Data Exchange'!$H$163)*100</f>
        <v>0</v>
      </c>
      <c r="H199" s="260">
        <f>('Pivot Table for Data Exchange'!$H$166)*100</f>
        <v>0</v>
      </c>
      <c r="I199" s="266" t="s">
        <v>670</v>
      </c>
      <c r="J199" s="260">
        <f>('Pivot Table for Data Exchange'!$H$169)*100</f>
        <v>2.9784537389100127</v>
      </c>
      <c r="K199" s="260">
        <f>('Pivot Table for Data Exchange'!$H$172)*100</f>
        <v>2.5348542458808616</v>
      </c>
      <c r="L199" s="261">
        <f t="shared" ref="L199:L200" si="33">SUM(M199:O199)</f>
        <v>94.48669201520913</v>
      </c>
      <c r="M199" s="260">
        <f>('Pivot Table for Data Exchange'!$H$175)*100</f>
        <v>94.48669201520913</v>
      </c>
      <c r="N199" s="260">
        <f>('Pivot Table for Data Exchange'!$H$178)*100</f>
        <v>0</v>
      </c>
      <c r="O199" s="268">
        <f>('Pivot Table for Data Exchange'!$H$181)*100</f>
        <v>0</v>
      </c>
      <c r="P199" s="260">
        <f>('Pivot Table for Data Exchange'!$H$184)*100</f>
        <v>0</v>
      </c>
      <c r="Q199" s="265">
        <f t="shared" si="24"/>
        <v>100</v>
      </c>
      <c r="R199" s="265">
        <f t="shared" si="25"/>
        <v>100</v>
      </c>
      <c r="S199" s="314"/>
      <c r="T199" s="314"/>
      <c r="U199" s="314"/>
      <c r="V199" s="314"/>
      <c r="W199" s="314"/>
      <c r="X199" s="314"/>
      <c r="Y199" s="314"/>
      <c r="Z199" s="314"/>
      <c r="AA199" s="314"/>
      <c r="AB199" s="314"/>
      <c r="AC199" s="314"/>
      <c r="AD199" s="314"/>
      <c r="AE199" s="314"/>
      <c r="AF199" s="314"/>
      <c r="AG199" s="314"/>
      <c r="AH199" s="314"/>
      <c r="AI199" s="314"/>
      <c r="AJ199" s="314"/>
      <c r="AK199" s="314"/>
      <c r="AL199" s="314"/>
      <c r="AM199" s="314"/>
      <c r="AN199" s="314"/>
      <c r="AO199" s="314"/>
    </row>
    <row r="200" spans="1:41" ht="15.75" customHeight="1">
      <c r="A200" s="231" t="s">
        <v>671</v>
      </c>
      <c r="B200" s="260">
        <f>('Pivot Table for Data Exchange'!$H$187)*100</f>
        <v>0</v>
      </c>
      <c r="C200" s="260">
        <f>('Pivot Table for Data Exchange'!$H$190)*100</f>
        <v>0</v>
      </c>
      <c r="D200" s="261">
        <f t="shared" si="32"/>
        <v>0</v>
      </c>
      <c r="E200" s="260">
        <f>('Pivot Table for Data Exchange'!$H$193)*100</f>
        <v>0</v>
      </c>
      <c r="F200" s="260">
        <f>('Pivot Table for Data Exchange'!$H$196)*100</f>
        <v>0</v>
      </c>
      <c r="G200" s="268">
        <f>('Pivot Table for Data Exchange'!$H$199)*100</f>
        <v>0</v>
      </c>
      <c r="H200" s="260">
        <f>('Pivot Table for Data Exchange'!$H$202)*100</f>
        <v>0</v>
      </c>
      <c r="I200" s="266" t="s">
        <v>671</v>
      </c>
      <c r="J200" s="260">
        <f>('Pivot Table for Data Exchange'!$H$205)*100</f>
        <v>0</v>
      </c>
      <c r="K200" s="260">
        <f>('Pivot Table for Data Exchange'!$H$208)*100</f>
        <v>0</v>
      </c>
      <c r="L200" s="261">
        <f t="shared" si="33"/>
        <v>0</v>
      </c>
      <c r="M200" s="260">
        <f>('Pivot Table for Data Exchange'!$H$211)*100</f>
        <v>0</v>
      </c>
      <c r="N200" s="260">
        <f>('Pivot Table for Data Exchange'!$H$214)*100</f>
        <v>0</v>
      </c>
      <c r="O200" s="268">
        <f>('Pivot Table for Data Exchange'!$H$217)*100</f>
        <v>0</v>
      </c>
      <c r="P200" s="260">
        <f>('Pivot Table for Data Exchange'!$H$220)*100</f>
        <v>0</v>
      </c>
      <c r="Q200" s="265">
        <f t="shared" si="24"/>
        <v>0</v>
      </c>
      <c r="R200" s="265">
        <f t="shared" si="25"/>
        <v>0</v>
      </c>
      <c r="S200" s="314"/>
      <c r="T200" s="314"/>
      <c r="U200" s="314"/>
      <c r="V200" s="314"/>
      <c r="W200" s="314"/>
      <c r="X200" s="314"/>
      <c r="Y200" s="314"/>
      <c r="Z200" s="314"/>
      <c r="AA200" s="314"/>
      <c r="AB200" s="314"/>
      <c r="AC200" s="314"/>
      <c r="AD200" s="314"/>
      <c r="AE200" s="314"/>
      <c r="AF200" s="314"/>
      <c r="AG200" s="314"/>
      <c r="AH200" s="314"/>
      <c r="AI200" s="314"/>
      <c r="AJ200" s="314"/>
      <c r="AK200" s="314"/>
      <c r="AL200" s="314"/>
      <c r="AM200" s="314"/>
      <c r="AN200" s="314"/>
      <c r="AO200" s="314"/>
    </row>
    <row r="201" spans="1:41" ht="15.75" customHeight="1">
      <c r="A201" s="231" t="s">
        <v>672</v>
      </c>
      <c r="B201" s="260">
        <f>('Pivot Table for Data Exchange'!$H$223)*100</f>
        <v>58.268275372604727</v>
      </c>
      <c r="C201" s="260">
        <f>('Pivot Table for Data Exchange'!$H$226)*100</f>
        <v>0</v>
      </c>
      <c r="D201" s="261">
        <f>SUM(E201:G201)</f>
        <v>41.73172462739528</v>
      </c>
      <c r="E201" s="260">
        <f>('Pivot Table for Data Exchange'!$H$229)*100</f>
        <v>41.73172462739528</v>
      </c>
      <c r="F201" s="260">
        <f>('Pivot Table for Data Exchange'!$H$232)*100</f>
        <v>0</v>
      </c>
      <c r="G201" s="268">
        <f>('Pivot Table for Data Exchange'!$H$235)*100</f>
        <v>0</v>
      </c>
      <c r="H201" s="260">
        <f>('Pivot Table for Data Exchange'!$H$238)*100</f>
        <v>0</v>
      </c>
      <c r="I201" s="266" t="s">
        <v>672</v>
      </c>
      <c r="J201" s="260">
        <f>('Pivot Table for Data Exchange'!$H$241)*100</f>
        <v>0</v>
      </c>
      <c r="K201" s="260">
        <f>('Pivot Table for Data Exchange'!$H$244)*100</f>
        <v>0</v>
      </c>
      <c r="L201" s="261">
        <f>SUM(M201:O201)</f>
        <v>0</v>
      </c>
      <c r="M201" s="260">
        <f>('Pivot Table for Data Exchange'!$H$247)*100</f>
        <v>0</v>
      </c>
      <c r="N201" s="260">
        <f>('Pivot Table for Data Exchange'!$H$250)*100</f>
        <v>0</v>
      </c>
      <c r="O201" s="268">
        <f>('Pivot Table for Data Exchange'!$H$253)*100</f>
        <v>0</v>
      </c>
      <c r="P201" s="260">
        <f>('Pivot Table for Data Exchange'!$H$256)*100</f>
        <v>0</v>
      </c>
      <c r="Q201" s="265">
        <f t="shared" si="24"/>
        <v>100</v>
      </c>
      <c r="R201" s="265">
        <f t="shared" si="25"/>
        <v>0</v>
      </c>
      <c r="S201" s="314"/>
      <c r="T201" s="318"/>
      <c r="U201" s="314"/>
      <c r="V201" s="314"/>
      <c r="W201" s="314"/>
      <c r="X201" s="314"/>
      <c r="Y201" s="314"/>
      <c r="Z201" s="314"/>
      <c r="AA201" s="314"/>
      <c r="AB201" s="314"/>
      <c r="AC201" s="314"/>
      <c r="AD201" s="314"/>
      <c r="AE201" s="314"/>
      <c r="AF201" s="314"/>
      <c r="AG201" s="314"/>
      <c r="AH201" s="314"/>
      <c r="AI201" s="314"/>
      <c r="AJ201" s="314"/>
      <c r="AK201" s="314"/>
      <c r="AL201" s="314"/>
      <c r="AM201" s="314"/>
      <c r="AN201" s="314"/>
      <c r="AO201" s="314"/>
    </row>
    <row r="202" spans="1:41" ht="15.75" customHeight="1">
      <c r="A202" s="231" t="s">
        <v>673</v>
      </c>
      <c r="B202" s="260">
        <f>('Pivot Table for Data Exchange'!$H$259)*100</f>
        <v>99.504929367077793</v>
      </c>
      <c r="C202" s="260">
        <f>('Pivot Table for Data Exchange'!$H$262)*100</f>
        <v>0</v>
      </c>
      <c r="D202" s="261">
        <f>SUM(E202:G202)</f>
        <v>0.49507063292219711</v>
      </c>
      <c r="E202" s="260">
        <f>('Pivot Table for Data Exchange'!$H$265)*100</f>
        <v>0.49507063292219711</v>
      </c>
      <c r="F202" s="260">
        <f>('Pivot Table for Data Exchange'!$H$268)*100</f>
        <v>0</v>
      </c>
      <c r="G202" s="268">
        <f>('Pivot Table for Data Exchange'!$H$271)*100</f>
        <v>0</v>
      </c>
      <c r="H202" s="260">
        <f>('Pivot Table for Data Exchange'!$H$274)*100</f>
        <v>0</v>
      </c>
      <c r="I202" s="266" t="s">
        <v>673</v>
      </c>
      <c r="J202" s="260">
        <f>('Pivot Table for Data Exchange'!$H$277)*100</f>
        <v>100</v>
      </c>
      <c r="K202" s="260">
        <f>('Pivot Table for Data Exchange'!$H$280)*100</f>
        <v>0</v>
      </c>
      <c r="L202" s="261">
        <f>SUM(M202:O202)</f>
        <v>0</v>
      </c>
      <c r="M202" s="260">
        <f>('Pivot Table for Data Exchange'!$H$283)*100</f>
        <v>0</v>
      </c>
      <c r="N202" s="260">
        <f>('Pivot Table for Data Exchange'!$H$286)*100</f>
        <v>0</v>
      </c>
      <c r="O202" s="268">
        <f>('Pivot Table for Data Exchange'!$H$289)*100</f>
        <v>0</v>
      </c>
      <c r="P202" s="260">
        <f>('Pivot Table for Data Exchange'!$H$292)*100</f>
        <v>0</v>
      </c>
      <c r="Q202" s="265">
        <f t="shared" si="24"/>
        <v>99.999999999999986</v>
      </c>
      <c r="R202" s="265">
        <f t="shared" si="25"/>
        <v>100</v>
      </c>
      <c r="S202" s="314"/>
      <c r="U202" s="314"/>
      <c r="V202" s="314"/>
      <c r="W202" s="314"/>
      <c r="X202" s="314"/>
      <c r="Y202" s="314"/>
      <c r="Z202" s="314"/>
      <c r="AA202" s="314"/>
      <c r="AB202" s="314"/>
      <c r="AC202" s="314"/>
      <c r="AD202" s="314"/>
      <c r="AE202" s="314"/>
      <c r="AF202" s="314"/>
      <c r="AG202" s="314"/>
      <c r="AH202" s="314"/>
      <c r="AI202" s="314"/>
      <c r="AJ202" s="314"/>
      <c r="AK202" s="314"/>
      <c r="AL202" s="314"/>
      <c r="AM202" s="314"/>
      <c r="AN202" s="314"/>
      <c r="AO202" s="314"/>
    </row>
    <row r="203" spans="1:41" ht="11.25" customHeight="1">
      <c r="B203" s="260"/>
      <c r="C203" s="260"/>
      <c r="D203" s="261"/>
      <c r="E203" s="260"/>
      <c r="F203" s="260"/>
      <c r="G203" s="268"/>
      <c r="H203" s="260"/>
      <c r="I203" s="266"/>
      <c r="J203" s="260"/>
      <c r="K203" s="260"/>
      <c r="L203" s="261"/>
      <c r="M203" s="260"/>
      <c r="N203" s="260"/>
      <c r="O203" s="268"/>
      <c r="P203" s="260"/>
      <c r="Q203" s="265">
        <f t="shared" si="24"/>
        <v>0</v>
      </c>
      <c r="R203" s="265">
        <f t="shared" si="25"/>
        <v>0</v>
      </c>
      <c r="S203" s="314"/>
      <c r="U203" s="314"/>
      <c r="V203" s="314"/>
      <c r="W203" s="314"/>
      <c r="X203" s="314"/>
      <c r="Y203" s="314"/>
      <c r="Z203" s="314"/>
      <c r="AA203" s="314"/>
      <c r="AB203" s="314"/>
      <c r="AC203" s="314"/>
      <c r="AD203" s="314"/>
      <c r="AE203" s="314"/>
      <c r="AF203" s="314"/>
      <c r="AG203" s="314"/>
      <c r="AH203" s="314"/>
      <c r="AI203" s="314"/>
      <c r="AJ203" s="314"/>
      <c r="AK203" s="314"/>
      <c r="AL203" s="314"/>
      <c r="AM203" s="314"/>
      <c r="AN203" s="314"/>
      <c r="AO203" s="314"/>
    </row>
    <row r="204" spans="1:41" ht="15.75" customHeight="1">
      <c r="A204" s="231" t="s">
        <v>674</v>
      </c>
      <c r="B204" s="260">
        <f>('Pivot Table for Data Exchange'!$H$295)*100</f>
        <v>0</v>
      </c>
      <c r="C204" s="260">
        <f>('Pivot Table for Data Exchange'!$H$298)*100</f>
        <v>0</v>
      </c>
      <c r="D204" s="261">
        <f>SUM(E204:G204)</f>
        <v>0</v>
      </c>
      <c r="E204" s="260">
        <f>('Pivot Table for Data Exchange'!$H$301)*100</f>
        <v>0</v>
      </c>
      <c r="F204" s="260">
        <f>('Pivot Table for Data Exchange'!$H$304)*100</f>
        <v>0</v>
      </c>
      <c r="G204" s="268">
        <f>('Pivot Table for Data Exchange'!$H$307)*100</f>
        <v>0</v>
      </c>
      <c r="H204" s="260">
        <f>('Pivot Table for Data Exchange'!$H$310)*100</f>
        <v>0</v>
      </c>
      <c r="I204" s="266" t="s">
        <v>674</v>
      </c>
      <c r="J204" s="260">
        <f>('Pivot Table for Data Exchange'!$H$313)*100</f>
        <v>0</v>
      </c>
      <c r="K204" s="260">
        <f>('Pivot Table for Data Exchange'!$H$316)*100</f>
        <v>0</v>
      </c>
      <c r="L204" s="261">
        <f>SUM(M204:O204)</f>
        <v>0</v>
      </c>
      <c r="M204" s="260">
        <f>('Pivot Table for Data Exchange'!$H$319)*100</f>
        <v>0</v>
      </c>
      <c r="N204" s="260">
        <f>('Pivot Table for Data Exchange'!$H$322)*100</f>
        <v>0</v>
      </c>
      <c r="O204" s="268">
        <f>('Pivot Table for Data Exchange'!$H$325)*100</f>
        <v>0</v>
      </c>
      <c r="P204" s="260">
        <f>('Pivot Table for Data Exchange'!$H$328)*100</f>
        <v>0</v>
      </c>
      <c r="Q204" s="265">
        <f t="shared" si="24"/>
        <v>0</v>
      </c>
      <c r="R204" s="265">
        <f t="shared" si="25"/>
        <v>0</v>
      </c>
      <c r="S204" s="314"/>
      <c r="T204" s="314"/>
      <c r="U204" s="314"/>
      <c r="V204" s="314"/>
      <c r="W204" s="314"/>
      <c r="X204" s="314"/>
      <c r="Y204" s="314"/>
      <c r="Z204" s="314"/>
      <c r="AA204" s="314"/>
      <c r="AB204" s="314"/>
      <c r="AC204" s="314"/>
      <c r="AD204" s="314"/>
      <c r="AE204" s="314"/>
      <c r="AF204" s="314"/>
      <c r="AG204" s="314"/>
      <c r="AH204" s="314"/>
      <c r="AI204" s="314"/>
      <c r="AJ204" s="314"/>
      <c r="AK204" s="314"/>
      <c r="AL204" s="314"/>
      <c r="AM204" s="314"/>
      <c r="AN204" s="314"/>
      <c r="AO204" s="314"/>
    </row>
    <row r="205" spans="1:41" ht="15.75" customHeight="1">
      <c r="A205" s="231" t="s">
        <v>675</v>
      </c>
      <c r="B205" s="260">
        <f>('Pivot Table for Data Exchange'!$H$331)*100</f>
        <v>90.528778339697936</v>
      </c>
      <c r="C205" s="260">
        <f>('Pivot Table for Data Exchange'!$H$334)*100</f>
        <v>0.65022190112498712</v>
      </c>
      <c r="D205" s="261">
        <f>SUM(E205:G205)</f>
        <v>8.8209997591770737</v>
      </c>
      <c r="E205" s="260">
        <f>('Pivot Table for Data Exchange'!$H$337)*100</f>
        <v>7.1909725805896718</v>
      </c>
      <c r="F205" s="260">
        <f>('Pivot Table for Data Exchange'!$H$340)*100</f>
        <v>1.6300271785874016</v>
      </c>
      <c r="G205" s="268">
        <f>('Pivot Table for Data Exchange'!$H$343)*100</f>
        <v>0</v>
      </c>
      <c r="H205" s="260">
        <f>('Pivot Table for Data Exchange'!$H$346)*100</f>
        <v>0</v>
      </c>
      <c r="I205" s="266" t="s">
        <v>675</v>
      </c>
      <c r="J205" s="260">
        <f>('Pivot Table for Data Exchange'!$H$349)*100</f>
        <v>42.470506592644</v>
      </c>
      <c r="K205" s="260">
        <f>('Pivot Table for Data Exchange'!$H$352)*100</f>
        <v>0</v>
      </c>
      <c r="L205" s="261">
        <f>SUM(M205:O205)</f>
        <v>57.529493407356</v>
      </c>
      <c r="M205" s="260">
        <f>('Pivot Table for Data Exchange'!$H$355)*100</f>
        <v>57.529493407356</v>
      </c>
      <c r="N205" s="260">
        <f>('Pivot Table for Data Exchange'!$H$358)*100</f>
        <v>0</v>
      </c>
      <c r="O205" s="268">
        <f>('Pivot Table for Data Exchange'!$H$361)*100</f>
        <v>0</v>
      </c>
      <c r="P205" s="260">
        <f>('Pivot Table for Data Exchange'!$H$364)*100</f>
        <v>0</v>
      </c>
      <c r="Q205" s="265">
        <f t="shared" si="24"/>
        <v>100</v>
      </c>
      <c r="R205" s="265">
        <f t="shared" si="25"/>
        <v>100</v>
      </c>
      <c r="S205" s="314"/>
      <c r="T205" s="314"/>
      <c r="U205" s="314"/>
      <c r="V205" s="314"/>
      <c r="W205" s="314"/>
      <c r="X205" s="314"/>
      <c r="Y205" s="314"/>
      <c r="Z205" s="314"/>
      <c r="AA205" s="314"/>
      <c r="AB205" s="314"/>
      <c r="AC205" s="314"/>
      <c r="AD205" s="314"/>
      <c r="AE205" s="314"/>
      <c r="AF205" s="314"/>
      <c r="AG205" s="314"/>
      <c r="AH205" s="314"/>
      <c r="AI205" s="314"/>
      <c r="AJ205" s="314"/>
      <c r="AK205" s="314"/>
      <c r="AL205" s="314"/>
      <c r="AM205" s="314"/>
      <c r="AN205" s="314"/>
      <c r="AO205" s="314"/>
    </row>
    <row r="206" spans="1:41" ht="15.75" customHeight="1">
      <c r="A206" s="231" t="s">
        <v>676</v>
      </c>
      <c r="B206" s="260">
        <f>('Pivot Table for Data Exchange'!$H$367)*100</f>
        <v>72.279407476526501</v>
      </c>
      <c r="C206" s="260">
        <f>('Pivot Table for Data Exchange'!$H$370)*100</f>
        <v>0</v>
      </c>
      <c r="D206" s="261">
        <f>SUM(E206:G206)</f>
        <v>27.720592523473492</v>
      </c>
      <c r="E206" s="260">
        <f>('Pivot Table for Data Exchange'!$H$373)*100</f>
        <v>26.450691082988275</v>
      </c>
      <c r="F206" s="260">
        <f>('Pivot Table for Data Exchange'!$H$376)*100</f>
        <v>1.2633405260395405</v>
      </c>
      <c r="G206" s="268">
        <f>('Pivot Table for Data Exchange'!$H$379)*100</f>
        <v>6.5609144456756276E-3</v>
      </c>
      <c r="H206" s="260">
        <f>('Pivot Table for Data Exchange'!$H$382)*100</f>
        <v>0</v>
      </c>
      <c r="I206" s="266" t="s">
        <v>676</v>
      </c>
      <c r="J206" s="260">
        <f>('Pivot Table for Data Exchange'!$H$385)*100</f>
        <v>94.029850746268664</v>
      </c>
      <c r="K206" s="260">
        <f>('Pivot Table for Data Exchange'!$H$388)*100</f>
        <v>0</v>
      </c>
      <c r="L206" s="261">
        <f>SUM(M206:O206)</f>
        <v>5.9701492537313428</v>
      </c>
      <c r="M206" s="260">
        <f>('Pivot Table for Data Exchange'!$H$391)*100</f>
        <v>5.9701492537313428</v>
      </c>
      <c r="N206" s="260">
        <f>('Pivot Table for Data Exchange'!$H$394)*100</f>
        <v>0</v>
      </c>
      <c r="O206" s="268">
        <f>('Pivot Table for Data Exchange'!$H$397)*100</f>
        <v>0</v>
      </c>
      <c r="P206" s="260">
        <f>('Pivot Table for Data Exchange'!$H$400)*100</f>
        <v>0</v>
      </c>
      <c r="Q206" s="265">
        <f t="shared" si="24"/>
        <v>100</v>
      </c>
      <c r="R206" s="265">
        <f t="shared" si="25"/>
        <v>100</v>
      </c>
      <c r="S206" s="314"/>
      <c r="T206" s="318"/>
      <c r="U206" s="314"/>
      <c r="V206" s="314"/>
      <c r="W206" s="314"/>
      <c r="X206" s="314"/>
      <c r="Y206" s="314"/>
      <c r="Z206" s="314"/>
      <c r="AA206" s="314"/>
      <c r="AB206" s="314"/>
      <c r="AC206" s="314"/>
      <c r="AD206" s="314"/>
      <c r="AE206" s="314"/>
      <c r="AF206" s="314"/>
      <c r="AG206" s="314"/>
      <c r="AH206" s="314"/>
      <c r="AI206" s="314"/>
      <c r="AJ206" s="314"/>
      <c r="AK206" s="314"/>
      <c r="AL206" s="314"/>
      <c r="AM206" s="314"/>
      <c r="AN206" s="314"/>
      <c r="AO206" s="314"/>
    </row>
    <row r="207" spans="1:41" ht="15.75" customHeight="1">
      <c r="A207" s="231" t="s">
        <v>677</v>
      </c>
      <c r="B207" s="260">
        <f>('Pivot Table for Data Exchange'!$H$403)*100</f>
        <v>73.858395795463721</v>
      </c>
      <c r="C207" s="260">
        <f>('Pivot Table for Data Exchange'!$H$406)*100</f>
        <v>4.4546841145856719</v>
      </c>
      <c r="D207" s="261">
        <f>SUM(E207:G207)</f>
        <v>21.686920089950597</v>
      </c>
      <c r="E207" s="260">
        <f>('Pivot Table for Data Exchange'!$H$409)*100</f>
        <v>21.686920089950597</v>
      </c>
      <c r="F207" s="260">
        <f>('Pivot Table for Data Exchange'!$H$412)*100</f>
        <v>0</v>
      </c>
      <c r="G207" s="267">
        <f>('Pivot Table for Data Exchange'!$H$415)*100</f>
        <v>0</v>
      </c>
      <c r="H207" s="260">
        <f>('Pivot Table for Data Exchange'!$H$418)*100</f>
        <v>0</v>
      </c>
      <c r="I207" s="266" t="s">
        <v>677</v>
      </c>
      <c r="J207" s="260">
        <f>('Pivot Table for Data Exchange'!$H$421)*100</f>
        <v>34.822581870678519</v>
      </c>
      <c r="K207" s="260">
        <f>('Pivot Table for Data Exchange'!$H$424)*100</f>
        <v>7.8565458551781777</v>
      </c>
      <c r="L207" s="261">
        <f>SUM(M207:O207)</f>
        <v>57.320872274143298</v>
      </c>
      <c r="M207" s="260">
        <f>('Pivot Table for Data Exchange'!$H$427)*100</f>
        <v>57.320872274143298</v>
      </c>
      <c r="N207" s="260">
        <f>('Pivot Table for Data Exchange'!$H$430)*100</f>
        <v>0</v>
      </c>
      <c r="O207" s="268">
        <f>('Pivot Table for Data Exchange'!$H$433)*100</f>
        <v>0</v>
      </c>
      <c r="P207" s="260">
        <f>('Pivot Table for Data Exchange'!$H$436)*100</f>
        <v>0</v>
      </c>
      <c r="Q207" s="265">
        <f t="shared" si="24"/>
        <v>100</v>
      </c>
      <c r="R207" s="265">
        <f t="shared" si="25"/>
        <v>100</v>
      </c>
      <c r="S207" s="314"/>
      <c r="T207" s="314"/>
      <c r="U207" s="314"/>
      <c r="V207" s="314"/>
      <c r="W207" s="314"/>
      <c r="X207" s="314"/>
      <c r="Y207" s="314"/>
      <c r="Z207" s="314"/>
      <c r="AA207" s="314"/>
      <c r="AB207" s="314"/>
      <c r="AC207" s="314"/>
      <c r="AD207" s="314"/>
      <c r="AE207" s="314"/>
      <c r="AF207" s="314"/>
      <c r="AG207" s="314"/>
      <c r="AH207" s="314"/>
      <c r="AI207" s="314"/>
      <c r="AJ207" s="314"/>
      <c r="AK207" s="314"/>
      <c r="AL207" s="314"/>
      <c r="AM207" s="314"/>
      <c r="AN207" s="314"/>
      <c r="AO207" s="314"/>
    </row>
    <row r="208" spans="1:41" ht="11.25" customHeight="1">
      <c r="B208" s="260"/>
      <c r="C208" s="260"/>
      <c r="D208" s="261"/>
      <c r="E208" s="260"/>
      <c r="F208" s="260"/>
      <c r="G208" s="268"/>
      <c r="H208" s="260"/>
      <c r="I208" s="266"/>
      <c r="J208" s="260"/>
      <c r="K208" s="260"/>
      <c r="L208" s="261"/>
      <c r="M208" s="260"/>
      <c r="N208" s="260"/>
      <c r="O208" s="268"/>
      <c r="P208" s="260"/>
      <c r="Q208" s="265">
        <f t="shared" si="24"/>
        <v>0</v>
      </c>
      <c r="R208" s="265">
        <f t="shared" si="25"/>
        <v>0</v>
      </c>
      <c r="S208" s="314"/>
      <c r="T208" s="314"/>
      <c r="U208" s="314"/>
      <c r="V208" s="314"/>
      <c r="W208" s="314"/>
      <c r="X208" s="314"/>
      <c r="Y208" s="314"/>
      <c r="Z208" s="314"/>
      <c r="AA208" s="314"/>
      <c r="AB208" s="314"/>
      <c r="AC208" s="314"/>
      <c r="AD208" s="314"/>
      <c r="AE208" s="314"/>
      <c r="AF208" s="314"/>
      <c r="AG208" s="314"/>
      <c r="AH208" s="314"/>
      <c r="AI208" s="314"/>
      <c r="AJ208" s="314"/>
      <c r="AK208" s="314"/>
      <c r="AL208" s="314"/>
      <c r="AM208" s="314"/>
      <c r="AN208" s="314"/>
      <c r="AO208" s="314"/>
    </row>
    <row r="209" spans="1:41" ht="15.75" customHeight="1">
      <c r="A209" s="231" t="s">
        <v>678</v>
      </c>
      <c r="B209" s="260">
        <f>('Pivot Table for Data Exchange'!$H$439)*100</f>
        <v>0</v>
      </c>
      <c r="C209" s="260">
        <f>('Pivot Table for Data Exchange'!$H$442)*100</f>
        <v>0</v>
      </c>
      <c r="D209" s="261">
        <f>SUM(E209:G209)</f>
        <v>0</v>
      </c>
      <c r="E209" s="260">
        <f>('Pivot Table for Data Exchange'!$H$445)*100</f>
        <v>0</v>
      </c>
      <c r="F209" s="260">
        <f>('Pivot Table for Data Exchange'!$H$448)*100</f>
        <v>0</v>
      </c>
      <c r="G209" s="268">
        <f>('Pivot Table for Data Exchange'!$H$451)*100</f>
        <v>0</v>
      </c>
      <c r="H209" s="260">
        <f>('Pivot Table for Data Exchange'!$H$454)*100</f>
        <v>0</v>
      </c>
      <c r="I209" s="266" t="s">
        <v>678</v>
      </c>
      <c r="J209" s="260">
        <f>('Pivot Table for Data Exchange'!$H$457)*100</f>
        <v>0</v>
      </c>
      <c r="K209" s="260">
        <f>('Pivot Table for Data Exchange'!$H$460)*100</f>
        <v>0</v>
      </c>
      <c r="L209" s="261">
        <f>SUM(M209:O209)</f>
        <v>0</v>
      </c>
      <c r="M209" s="260">
        <f>('Pivot Table for Data Exchange'!$H$463)*100</f>
        <v>0</v>
      </c>
      <c r="N209" s="260">
        <f>('Pivot Table for Data Exchange'!$H$466)*100</f>
        <v>0</v>
      </c>
      <c r="O209" s="268">
        <f>('Pivot Table for Data Exchange'!$H$469)*100</f>
        <v>0</v>
      </c>
      <c r="P209" s="260">
        <f>('Pivot Table for Data Exchange'!$H$472)*100</f>
        <v>0</v>
      </c>
      <c r="Q209" s="265">
        <f t="shared" si="24"/>
        <v>0</v>
      </c>
      <c r="R209" s="265">
        <f t="shared" si="25"/>
        <v>0</v>
      </c>
      <c r="S209" s="314"/>
      <c r="T209" s="314"/>
      <c r="U209" s="314"/>
      <c r="V209" s="314"/>
      <c r="W209" s="314"/>
      <c r="X209" s="314"/>
      <c r="Y209" s="314"/>
      <c r="Z209" s="314"/>
      <c r="AA209" s="314"/>
      <c r="AB209" s="314"/>
      <c r="AC209" s="314"/>
      <c r="AD209" s="314"/>
      <c r="AE209" s="314"/>
      <c r="AF209" s="314"/>
      <c r="AG209" s="314"/>
      <c r="AH209" s="314"/>
      <c r="AI209" s="314"/>
      <c r="AJ209" s="314"/>
      <c r="AK209" s="314"/>
      <c r="AL209" s="314"/>
      <c r="AM209" s="314"/>
      <c r="AN209" s="314"/>
      <c r="AO209" s="314"/>
    </row>
    <row r="210" spans="1:41" ht="15.75" customHeight="1">
      <c r="A210" s="231" t="s">
        <v>679</v>
      </c>
      <c r="B210" s="260">
        <f>('Pivot Table for Data Exchange'!$H$475)*100</f>
        <v>0</v>
      </c>
      <c r="C210" s="260">
        <f>('Pivot Table for Data Exchange'!$H$478)*100</f>
        <v>0</v>
      </c>
      <c r="D210" s="261">
        <f>SUM(E210:G210)</f>
        <v>0</v>
      </c>
      <c r="E210" s="260">
        <f>('Pivot Table for Data Exchange'!$H$481)*100</f>
        <v>0</v>
      </c>
      <c r="F210" s="260">
        <f>('Pivot Table for Data Exchange'!$H$484)*100</f>
        <v>0</v>
      </c>
      <c r="G210" s="267">
        <f>('Pivot Table for Data Exchange'!$H$487)*100</f>
        <v>0</v>
      </c>
      <c r="H210" s="260">
        <f>('Pivot Table for Data Exchange'!$H$490)*100</f>
        <v>0</v>
      </c>
      <c r="I210" s="266" t="s">
        <v>679</v>
      </c>
      <c r="J210" s="260">
        <f>('Pivot Table for Data Exchange'!$H$493)*100</f>
        <v>0</v>
      </c>
      <c r="K210" s="260">
        <f>('Pivot Table for Data Exchange'!$H$496)*100</f>
        <v>0</v>
      </c>
      <c r="L210" s="261">
        <f>SUM(M210:O210)</f>
        <v>0</v>
      </c>
      <c r="M210" s="260">
        <f>('Pivot Table for Data Exchange'!$H$499)*100</f>
        <v>0</v>
      </c>
      <c r="N210" s="260">
        <f>('Pivot Table for Data Exchange'!$H$502)*100</f>
        <v>0</v>
      </c>
      <c r="O210" s="268">
        <f>('Pivot Table for Data Exchange'!$H$505)*100</f>
        <v>0</v>
      </c>
      <c r="P210" s="260">
        <f>('Pivot Table for Data Exchange'!$H$508)*100</f>
        <v>0</v>
      </c>
      <c r="Q210" s="265">
        <f t="shared" si="24"/>
        <v>0</v>
      </c>
      <c r="R210" s="265">
        <f t="shared" si="25"/>
        <v>0</v>
      </c>
      <c r="S210" s="314"/>
      <c r="T210" s="314"/>
      <c r="U210" s="314"/>
      <c r="V210" s="314"/>
      <c r="W210" s="314"/>
      <c r="X210" s="314"/>
      <c r="Y210" s="314"/>
      <c r="Z210" s="314"/>
      <c r="AA210" s="314"/>
      <c r="AB210" s="314"/>
      <c r="AC210" s="314"/>
      <c r="AD210" s="314"/>
      <c r="AE210" s="314"/>
      <c r="AF210" s="314"/>
      <c r="AG210" s="314"/>
      <c r="AH210" s="314"/>
      <c r="AI210" s="314"/>
      <c r="AJ210" s="314"/>
      <c r="AK210" s="314"/>
      <c r="AL210" s="314"/>
      <c r="AM210" s="314"/>
      <c r="AN210" s="314"/>
      <c r="AO210" s="314"/>
    </row>
    <row r="211" spans="1:41" ht="15.75" customHeight="1">
      <c r="A211" s="231" t="s">
        <v>680</v>
      </c>
      <c r="B211" s="260">
        <f>('Pivot Table for Data Exchange'!$H$511)*100</f>
        <v>74.984716157205241</v>
      </c>
      <c r="C211" s="260">
        <f>('Pivot Table for Data Exchange'!$H$514)*100</f>
        <v>0</v>
      </c>
      <c r="D211" s="261">
        <f>SUM(E211:G211)</f>
        <v>25.015283842794762</v>
      </c>
      <c r="E211" s="260">
        <f>('Pivot Table for Data Exchange'!$H$517)*100</f>
        <v>25.015283842794762</v>
      </c>
      <c r="F211" s="260">
        <f>('Pivot Table for Data Exchange'!$H$520)*100</f>
        <v>0</v>
      </c>
      <c r="G211" s="268">
        <f>('Pivot Table for Data Exchange'!$H$523)*100</f>
        <v>0</v>
      </c>
      <c r="H211" s="260">
        <f>('Pivot Table for Data Exchange'!$H$526)*100</f>
        <v>0</v>
      </c>
      <c r="I211" s="266" t="s">
        <v>680</v>
      </c>
      <c r="J211" s="260">
        <f>('Pivot Table for Data Exchange'!$H$529)*100</f>
        <v>0</v>
      </c>
      <c r="K211" s="260">
        <f>('Pivot Table for Data Exchange'!$H$532)*100</f>
        <v>0</v>
      </c>
      <c r="L211" s="261">
        <f>SUM(M211:O211)</f>
        <v>0</v>
      </c>
      <c r="M211" s="260">
        <f>('Pivot Table for Data Exchange'!$H$535)*100</f>
        <v>0</v>
      </c>
      <c r="N211" s="260">
        <f>('Pivot Table for Data Exchange'!$H$538)*100</f>
        <v>0</v>
      </c>
      <c r="O211" s="268">
        <f>('Pivot Table for Data Exchange'!$H$541)*100</f>
        <v>0</v>
      </c>
      <c r="P211" s="260">
        <f>('Pivot Table for Data Exchange'!$H$544)*100</f>
        <v>0</v>
      </c>
      <c r="Q211" s="265">
        <f t="shared" si="24"/>
        <v>100</v>
      </c>
      <c r="R211" s="265">
        <f t="shared" si="25"/>
        <v>0</v>
      </c>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4"/>
      <c r="AO211" s="314"/>
    </row>
    <row r="212" spans="1:41" ht="15.75" customHeight="1">
      <c r="A212" s="237" t="s">
        <v>681</v>
      </c>
      <c r="B212" s="273">
        <f>('Pivot Table for Data Exchange'!$H$547)*100</f>
        <v>54.963820712782599</v>
      </c>
      <c r="C212" s="273">
        <f>('Pivot Table for Data Exchange'!$H$550)*100</f>
        <v>15.844614744044202</v>
      </c>
      <c r="D212" s="274">
        <f>SUM(E212:G212)</f>
        <v>29.1915645431732</v>
      </c>
      <c r="E212" s="273">
        <f>('Pivot Table for Data Exchange'!$H$553)*100</f>
        <v>29.12123155869147</v>
      </c>
      <c r="F212" s="273">
        <f>('Pivot Table for Data Exchange'!$H$556)*100</f>
        <v>6.9207656730022618E-2</v>
      </c>
      <c r="G212" s="296">
        <f>('Pivot Table for Data Exchange'!$H$559)*100</f>
        <v>1.1253277517076848E-3</v>
      </c>
      <c r="H212" s="273">
        <f>('Pivot Table for Data Exchange'!$H$562)*100</f>
        <v>0</v>
      </c>
      <c r="I212" s="276" t="s">
        <v>681</v>
      </c>
      <c r="J212" s="273">
        <f>('Pivot Table for Data Exchange'!$H$565)*100</f>
        <v>73.9561802397685</v>
      </c>
      <c r="K212" s="273">
        <f>('Pivot Table for Data Exchange'!$H$568)*100</f>
        <v>0.12401818933443572</v>
      </c>
      <c r="L212" s="274">
        <f>SUM(M212:O212)</f>
        <v>25.919801570897068</v>
      </c>
      <c r="M212" s="273">
        <f>('Pivot Table for Data Exchange'!$H$571)*100</f>
        <v>25.919801570897068</v>
      </c>
      <c r="N212" s="273">
        <f>('Pivot Table for Data Exchange'!$H$574)*100</f>
        <v>0</v>
      </c>
      <c r="O212" s="275">
        <f>('Pivot Table for Data Exchange'!$H$577)*100</f>
        <v>0</v>
      </c>
      <c r="P212" s="273">
        <f>('Pivot Table for Data Exchange'!$H$580)*100</f>
        <v>0</v>
      </c>
      <c r="Q212" s="265">
        <f t="shared" si="24"/>
        <v>100</v>
      </c>
      <c r="R212" s="265">
        <f t="shared" si="25"/>
        <v>100</v>
      </c>
      <c r="S212" s="314"/>
      <c r="T212" s="314"/>
      <c r="U212" s="314"/>
      <c r="V212" s="314"/>
      <c r="W212" s="314"/>
      <c r="X212" s="314"/>
      <c r="Y212" s="314"/>
      <c r="Z212" s="314"/>
      <c r="AA212" s="314"/>
      <c r="AB212" s="314"/>
      <c r="AC212" s="314"/>
      <c r="AD212" s="314"/>
      <c r="AE212" s="314"/>
      <c r="AF212" s="314"/>
      <c r="AG212" s="314"/>
      <c r="AH212" s="314"/>
      <c r="AI212" s="314"/>
      <c r="AJ212" s="314"/>
      <c r="AK212" s="314"/>
      <c r="AL212" s="314"/>
      <c r="AM212" s="314"/>
      <c r="AN212" s="314"/>
      <c r="AO212" s="314"/>
    </row>
    <row r="213" spans="1:41" s="304" customFormat="1" ht="13.5" customHeight="1">
      <c r="A213" s="279" t="s">
        <v>706</v>
      </c>
      <c r="B213" s="280"/>
      <c r="C213" s="280"/>
      <c r="D213" s="281"/>
      <c r="E213" s="280"/>
      <c r="F213" s="281"/>
      <c r="G213" s="281"/>
      <c r="H213" s="280"/>
      <c r="I213" s="279" t="s">
        <v>706</v>
      </c>
      <c r="J213" s="280"/>
      <c r="K213" s="280"/>
      <c r="L213" s="281"/>
      <c r="M213" s="280"/>
      <c r="N213" s="281"/>
      <c r="O213" s="281"/>
      <c r="P213" s="280"/>
      <c r="Q213" s="265">
        <f t="shared" si="24"/>
        <v>0</v>
      </c>
      <c r="R213" s="265">
        <f t="shared" si="25"/>
        <v>0</v>
      </c>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row>
    <row r="214" spans="1:41" s="304" customFormat="1" ht="23.25" customHeight="1">
      <c r="A214" s="490" t="s">
        <v>712</v>
      </c>
      <c r="B214" s="491"/>
      <c r="C214" s="491"/>
      <c r="D214" s="491"/>
      <c r="E214" s="491"/>
      <c r="F214" s="491"/>
      <c r="G214" s="491"/>
      <c r="H214" s="491"/>
      <c r="I214" s="490"/>
      <c r="J214" s="491"/>
      <c r="K214" s="491"/>
      <c r="L214" s="491"/>
      <c r="M214" s="491"/>
      <c r="N214" s="491"/>
      <c r="O214" s="491"/>
      <c r="P214" s="491"/>
      <c r="Q214" s="265">
        <f t="shared" si="24"/>
        <v>0</v>
      </c>
      <c r="R214" s="265">
        <f t="shared" si="25"/>
        <v>0</v>
      </c>
    </row>
    <row r="215" spans="1:41" s="304" customFormat="1" ht="10.5" customHeight="1">
      <c r="A215" s="283"/>
      <c r="B215" s="292"/>
      <c r="C215" s="292"/>
      <c r="D215" s="292"/>
      <c r="E215" s="292"/>
      <c r="F215" s="292"/>
      <c r="G215" s="292"/>
      <c r="H215" s="292"/>
      <c r="I215" s="283"/>
      <c r="J215" s="292"/>
      <c r="K215" s="292"/>
      <c r="L215" s="292"/>
      <c r="M215" s="292"/>
      <c r="N215" s="292"/>
      <c r="O215" s="292"/>
      <c r="P215" s="292"/>
      <c r="Q215" s="265">
        <f t="shared" si="24"/>
        <v>0</v>
      </c>
      <c r="R215" s="265">
        <f t="shared" si="25"/>
        <v>0</v>
      </c>
    </row>
    <row r="216" spans="1:41" s="304" customFormat="1">
      <c r="A216" s="278"/>
      <c r="B216" s="278"/>
      <c r="C216" s="278"/>
      <c r="D216" s="278"/>
      <c r="E216" s="278"/>
      <c r="F216" s="278"/>
      <c r="G216" s="278"/>
      <c r="H216" s="284" t="s">
        <v>839</v>
      </c>
      <c r="I216" s="278"/>
      <c r="J216" s="278"/>
      <c r="K216" s="278"/>
      <c r="L216" s="278"/>
      <c r="M216" s="278"/>
      <c r="N216" s="278"/>
      <c r="O216" s="278"/>
      <c r="P216" s="284" t="s">
        <v>839</v>
      </c>
      <c r="Q216" s="265">
        <f t="shared" si="24"/>
        <v>0</v>
      </c>
      <c r="R216" s="265">
        <f t="shared" si="25"/>
        <v>0</v>
      </c>
    </row>
    <row r="217" spans="1:41" ht="18">
      <c r="A217" s="226" t="s">
        <v>719</v>
      </c>
      <c r="B217" s="227"/>
      <c r="C217" s="227"/>
      <c r="D217" s="227"/>
      <c r="E217" s="227"/>
      <c r="F217" s="227"/>
      <c r="G217" s="227"/>
      <c r="H217" s="227"/>
      <c r="I217" s="231"/>
      <c r="Q217" s="265">
        <f>SUM(B217,C217,D217,H217)</f>
        <v>0</v>
      </c>
    </row>
    <row r="218" spans="1:41" ht="13">
      <c r="A218" s="232"/>
      <c r="B218" s="228"/>
      <c r="C218" s="228"/>
      <c r="D218" s="228"/>
      <c r="E218" s="228"/>
      <c r="F218" s="228"/>
      <c r="G218" s="228"/>
      <c r="H218" s="228"/>
      <c r="I218" s="231"/>
      <c r="Q218" s="265">
        <f t="shared" ref="Q218:Q281" si="34">SUM(B218,C218,D218,H218)</f>
        <v>0</v>
      </c>
    </row>
    <row r="219" spans="1:41" ht="15.5">
      <c r="A219" s="234" t="s">
        <v>687</v>
      </c>
      <c r="B219" s="228"/>
      <c r="C219" s="228"/>
      <c r="D219" s="228"/>
      <c r="E219" s="228"/>
      <c r="F219" s="228"/>
      <c r="G219" s="228"/>
      <c r="H219" s="228"/>
      <c r="L219" s="228"/>
      <c r="Q219" s="265">
        <f t="shared" si="34"/>
        <v>0</v>
      </c>
    </row>
    <row r="220" spans="1:41" ht="15.5">
      <c r="A220" s="234" t="s">
        <v>831</v>
      </c>
      <c r="B220" s="228"/>
      <c r="C220" s="228"/>
      <c r="D220" s="228"/>
      <c r="E220" s="228"/>
      <c r="F220" s="228"/>
      <c r="G220" s="228"/>
      <c r="H220" s="228"/>
      <c r="Q220" s="265">
        <f t="shared" si="34"/>
        <v>0</v>
      </c>
    </row>
    <row r="221" spans="1:41">
      <c r="A221" s="237"/>
      <c r="B221" s="238"/>
      <c r="C221" s="238"/>
      <c r="D221" s="238"/>
      <c r="E221" s="238"/>
      <c r="F221" s="238"/>
      <c r="G221" s="238"/>
      <c r="H221" s="238"/>
      <c r="Q221" s="265">
        <f t="shared" si="34"/>
        <v>0</v>
      </c>
    </row>
    <row r="222" spans="1:41">
      <c r="A222" s="242"/>
      <c r="B222" s="243" t="s">
        <v>689</v>
      </c>
      <c r="C222" s="243"/>
      <c r="D222" s="243"/>
      <c r="E222" s="243"/>
      <c r="F222" s="243"/>
      <c r="G222" s="243"/>
      <c r="H222" s="244"/>
      <c r="Q222" s="265">
        <f t="shared" si="34"/>
        <v>0</v>
      </c>
    </row>
    <row r="223" spans="1:41">
      <c r="A223" s="242"/>
      <c r="B223" s="243" t="s">
        <v>690</v>
      </c>
      <c r="C223" s="243"/>
      <c r="D223" s="485" t="s">
        <v>691</v>
      </c>
      <c r="E223" s="483"/>
      <c r="F223" s="483"/>
      <c r="G223" s="483"/>
      <c r="H223" s="250" t="s">
        <v>581</v>
      </c>
      <c r="Q223" s="265">
        <f t="shared" si="34"/>
        <v>0</v>
      </c>
    </row>
    <row r="224" spans="1:41" ht="34.5">
      <c r="A224" s="242"/>
      <c r="B224" s="251" t="s">
        <v>692</v>
      </c>
      <c r="C224" s="252" t="s">
        <v>693</v>
      </c>
      <c r="D224" s="253" t="s">
        <v>694</v>
      </c>
      <c r="E224" s="254" t="s">
        <v>8</v>
      </c>
      <c r="F224" s="251" t="s">
        <v>695</v>
      </c>
      <c r="G224" s="255" t="s">
        <v>704</v>
      </c>
      <c r="H224" s="256" t="s">
        <v>697</v>
      </c>
      <c r="I224" s="285"/>
      <c r="J224" s="247"/>
      <c r="K224" s="247"/>
      <c r="L224" s="247"/>
      <c r="M224" s="247"/>
      <c r="N224" s="247"/>
      <c r="O224" s="247"/>
      <c r="Q224" s="265">
        <f t="shared" si="34"/>
        <v>0</v>
      </c>
    </row>
    <row r="225" spans="1:41" ht="15.75" customHeight="1">
      <c r="A225" s="286" t="s">
        <v>666</v>
      </c>
      <c r="B225" s="313">
        <f>('Pivot Table for Data Exchange'!$O$7)*100</f>
        <v>59.482230456126615</v>
      </c>
      <c r="C225" s="260">
        <f>('Pivot Table for Data Exchange'!$O$10)*100</f>
        <v>9.5775315030362105</v>
      </c>
      <c r="D225" s="261">
        <f>SUM(E225:G225)</f>
        <v>30.940238040837169</v>
      </c>
      <c r="E225" s="260">
        <f>('Pivot Table for Data Exchange'!$O$13)*100</f>
        <v>30.133445328220386</v>
      </c>
      <c r="F225" s="260">
        <f>('Pivot Table for Data Exchange'!$O$16)*100</f>
        <v>0.27370341359699857</v>
      </c>
      <c r="G225" s="264">
        <f>('Pivot Table for Data Exchange'!$O$19)*100</f>
        <v>0.53308929901978619</v>
      </c>
      <c r="H225" s="260">
        <f>('Pivot Table for Data Exchange'!$O$22)*100</f>
        <v>0</v>
      </c>
      <c r="I225" s="298"/>
      <c r="J225" s="298"/>
      <c r="K225" s="298"/>
      <c r="L225" s="298"/>
      <c r="M225" s="298"/>
      <c r="N225" s="298"/>
      <c r="O225" s="298"/>
      <c r="P225" s="299"/>
      <c r="Q225" s="265">
        <f t="shared" si="34"/>
        <v>100</v>
      </c>
      <c r="R225" s="265"/>
      <c r="Z225" s="314"/>
      <c r="AA225" s="314"/>
      <c r="AB225" s="314"/>
      <c r="AC225" s="314"/>
      <c r="AD225" s="314"/>
      <c r="AE225" s="314"/>
      <c r="AF225" s="314"/>
      <c r="AG225" s="314"/>
      <c r="AH225" s="314"/>
      <c r="AI225" s="314"/>
      <c r="AJ225" s="314"/>
      <c r="AK225" s="314"/>
      <c r="AL225" s="314"/>
      <c r="AM225" s="314"/>
      <c r="AN225" s="314"/>
      <c r="AO225" s="314"/>
    </row>
    <row r="226" spans="1:41" ht="15.75" customHeight="1">
      <c r="A226" s="231" t="s">
        <v>667</v>
      </c>
      <c r="B226" s="260">
        <f>('Pivot Table for Data Exchange'!$O$43)*100</f>
        <v>59.020993634799737</v>
      </c>
      <c r="C226" s="260">
        <f>('Pivot Table for Data Exchange'!$O$46)*100</f>
        <v>10.157821203474199</v>
      </c>
      <c r="D226" s="261">
        <f t="shared" ref="D226:D228" si="35">SUM(E226:G226)</f>
        <v>30.821185161726071</v>
      </c>
      <c r="E226" s="260">
        <f>('Pivot Table for Data Exchange'!$O$49)*100</f>
        <v>29.888757110894954</v>
      </c>
      <c r="F226" s="260">
        <f>('Pivot Table for Data Exchange'!$O$52)*100</f>
        <v>0.93242805083111702</v>
      </c>
      <c r="G226" s="271">
        <f>('Pivot Table for Data Exchange'!$O$55)*100</f>
        <v>0</v>
      </c>
      <c r="H226" s="269">
        <f>('Pivot Table for Data Exchange'!$O$58)*100</f>
        <v>0</v>
      </c>
      <c r="I226" s="298"/>
      <c r="J226" s="298"/>
      <c r="K226" s="298"/>
      <c r="L226" s="298"/>
      <c r="M226" s="298"/>
      <c r="N226" s="298"/>
      <c r="O226" s="298"/>
      <c r="P226" s="299"/>
      <c r="Q226" s="265">
        <f t="shared" si="34"/>
        <v>100</v>
      </c>
      <c r="R226" s="265"/>
      <c r="Z226" s="314"/>
      <c r="AA226" s="314"/>
      <c r="AB226" s="314"/>
      <c r="AC226" s="314"/>
      <c r="AD226" s="314"/>
      <c r="AE226" s="314"/>
      <c r="AF226" s="314"/>
      <c r="AG226" s="314"/>
      <c r="AH226" s="314"/>
      <c r="AI226" s="314"/>
      <c r="AJ226" s="314"/>
      <c r="AK226" s="314"/>
      <c r="AL226" s="314"/>
      <c r="AM226" s="314"/>
      <c r="AN226" s="314"/>
      <c r="AO226" s="314"/>
    </row>
    <row r="227" spans="1:41" ht="15.75" customHeight="1">
      <c r="A227" s="231" t="s">
        <v>668</v>
      </c>
      <c r="B227" s="260">
        <f>('Pivot Table for Data Exchange'!$O$79)*100</f>
        <v>78.871152136173095</v>
      </c>
      <c r="C227" s="260">
        <f>('Pivot Table for Data Exchange'!$O$82)*100</f>
        <v>0</v>
      </c>
      <c r="D227" s="261">
        <f t="shared" si="35"/>
        <v>21.128847863826905</v>
      </c>
      <c r="E227" s="260">
        <f>('Pivot Table for Data Exchange'!$O$85)*100</f>
        <v>20.61034616820703</v>
      </c>
      <c r="F227" s="260">
        <f>('Pivot Table for Data Exchange'!$O$88)*100</f>
        <v>0.33296508293332611</v>
      </c>
      <c r="G227" s="268">
        <f>('Pivot Table for Data Exchange'!$O$91)*100</f>
        <v>0.18553661268654706</v>
      </c>
      <c r="H227" s="260">
        <f>('Pivot Table for Data Exchange'!$O$94)*100</f>
        <v>0</v>
      </c>
      <c r="I227" s="298"/>
      <c r="J227" s="298"/>
      <c r="K227" s="298"/>
      <c r="L227" s="298"/>
      <c r="M227" s="298"/>
      <c r="N227" s="298"/>
      <c r="O227" s="298"/>
      <c r="P227" s="299"/>
      <c r="Q227" s="265">
        <f t="shared" si="34"/>
        <v>100</v>
      </c>
      <c r="R227" s="265"/>
      <c r="Z227" s="314"/>
      <c r="AA227" s="314"/>
      <c r="AB227" s="314"/>
      <c r="AC227" s="314"/>
      <c r="AD227" s="314"/>
      <c r="AE227" s="314"/>
      <c r="AF227" s="314"/>
      <c r="AG227" s="314"/>
      <c r="AH227" s="314"/>
      <c r="AI227" s="314"/>
      <c r="AJ227" s="314"/>
      <c r="AK227" s="314"/>
      <c r="AL227" s="314"/>
      <c r="AM227" s="314"/>
      <c r="AN227" s="314"/>
      <c r="AO227" s="314"/>
    </row>
    <row r="228" spans="1:41" ht="15.75" customHeight="1">
      <c r="A228" s="231" t="s">
        <v>705</v>
      </c>
      <c r="B228" s="260">
        <f>('Pivot Table for Data Exchange'!$O$115)*100</f>
        <v>66.502768976443036</v>
      </c>
      <c r="C228" s="260">
        <f>('Pivot Table for Data Exchange'!$O$118)*100</f>
        <v>3.4558368921339024</v>
      </c>
      <c r="D228" s="261">
        <f t="shared" si="35"/>
        <v>30.004198925471826</v>
      </c>
      <c r="E228" s="260">
        <f>('Pivot Table for Data Exchange'!$O$121)*100</f>
        <v>29.568381319741011</v>
      </c>
      <c r="F228" s="260">
        <f>('Pivot Table for Data Exchange'!$O$124)*100</f>
        <v>1.0073012811682051E-2</v>
      </c>
      <c r="G228" s="268">
        <f>('Pivot Table for Data Exchange'!$O$127)*100</f>
        <v>0.42574459291913486</v>
      </c>
      <c r="H228" s="269">
        <f>('Pivot Table for Data Exchange'!$O$130)*100</f>
        <v>3.7195205951232949E-2</v>
      </c>
      <c r="I228" s="298"/>
      <c r="J228" s="298"/>
      <c r="K228" s="298"/>
      <c r="L228" s="298"/>
      <c r="M228" s="298"/>
      <c r="N228" s="298"/>
      <c r="O228" s="298"/>
      <c r="P228" s="299"/>
      <c r="Q228" s="265">
        <f t="shared" si="34"/>
        <v>100</v>
      </c>
      <c r="R228" s="265"/>
      <c r="Z228" s="314"/>
      <c r="AA228" s="314"/>
      <c r="AB228" s="314"/>
      <c r="AC228" s="314"/>
      <c r="AD228" s="314"/>
      <c r="AE228" s="314"/>
      <c r="AF228" s="314"/>
      <c r="AG228" s="314"/>
      <c r="AH228" s="314"/>
      <c r="AI228" s="314"/>
      <c r="AJ228" s="314"/>
      <c r="AK228" s="314"/>
      <c r="AL228" s="314"/>
      <c r="AM228" s="314"/>
      <c r="AN228" s="314"/>
      <c r="AO228" s="314"/>
    </row>
    <row r="229" spans="1:41" ht="15.75" customHeight="1">
      <c r="B229" s="260"/>
      <c r="C229" s="260"/>
      <c r="D229" s="261"/>
      <c r="E229" s="260"/>
      <c r="F229" s="260"/>
      <c r="G229" s="268"/>
      <c r="H229" s="260"/>
      <c r="I229" s="298"/>
      <c r="J229" s="298"/>
      <c r="K229" s="298"/>
      <c r="L229" s="298"/>
      <c r="M229" s="298"/>
      <c r="N229" s="298"/>
      <c r="O229" s="298"/>
      <c r="P229" s="299"/>
      <c r="Q229" s="265">
        <f t="shared" si="34"/>
        <v>0</v>
      </c>
      <c r="R229" s="265"/>
      <c r="Z229" s="314"/>
      <c r="AA229" s="314"/>
      <c r="AB229" s="314"/>
      <c r="AC229" s="314"/>
      <c r="AD229" s="314"/>
      <c r="AE229" s="314"/>
      <c r="AF229" s="314"/>
      <c r="AG229" s="314"/>
      <c r="AH229" s="314"/>
      <c r="AI229" s="314"/>
      <c r="AJ229" s="314"/>
      <c r="AK229" s="314"/>
      <c r="AL229" s="314"/>
      <c r="AM229" s="314"/>
      <c r="AN229" s="314"/>
      <c r="AO229" s="314"/>
    </row>
    <row r="230" spans="1:41" ht="15.75" customHeight="1">
      <c r="A230" s="231" t="s">
        <v>670</v>
      </c>
      <c r="B230" s="260">
        <f>('Pivot Table for Data Exchange'!$O$151)*100</f>
        <v>52.471761675143668</v>
      </c>
      <c r="C230" s="260">
        <f>('Pivot Table for Data Exchange'!$O$154)*100</f>
        <v>18.325516876940355</v>
      </c>
      <c r="D230" s="261">
        <f t="shared" ref="D230:D231" si="36">SUM(E230:G230)</f>
        <v>29.20272144791598</v>
      </c>
      <c r="E230" s="260">
        <f>('Pivot Table for Data Exchange'!$O$157)*100</f>
        <v>29.20272144791598</v>
      </c>
      <c r="F230" s="272">
        <f>('Pivot Table for Data Exchange'!$O$160)*100</f>
        <v>0</v>
      </c>
      <c r="G230" s="268">
        <f>('Pivot Table for Data Exchange'!$O$163)*100</f>
        <v>0</v>
      </c>
      <c r="H230" s="272">
        <f>('Pivot Table for Data Exchange'!$O$166)*100</f>
        <v>0</v>
      </c>
      <c r="I230" s="298"/>
      <c r="J230" s="298"/>
      <c r="K230" s="298"/>
      <c r="L230" s="298"/>
      <c r="M230" s="298"/>
      <c r="N230" s="298"/>
      <c r="O230" s="298"/>
      <c r="P230" s="299"/>
      <c r="Q230" s="265">
        <f t="shared" si="34"/>
        <v>100</v>
      </c>
      <c r="R230" s="265"/>
      <c r="Z230" s="314"/>
      <c r="AA230" s="314"/>
      <c r="AB230" s="314"/>
      <c r="AC230" s="314"/>
      <c r="AD230" s="314"/>
      <c r="AE230" s="314"/>
      <c r="AF230" s="314"/>
      <c r="AG230" s="314"/>
      <c r="AH230" s="314"/>
      <c r="AI230" s="314"/>
      <c r="AJ230" s="314"/>
      <c r="AK230" s="314"/>
      <c r="AL230" s="314"/>
      <c r="AM230" s="314"/>
      <c r="AN230" s="314"/>
      <c r="AO230" s="314"/>
    </row>
    <row r="231" spans="1:41" ht="15.75" customHeight="1">
      <c r="A231" s="231" t="s">
        <v>671</v>
      </c>
      <c r="B231" s="260">
        <f>('Pivot Table for Data Exchange'!$O$187)*100</f>
        <v>50.407313114558605</v>
      </c>
      <c r="C231" s="260">
        <f>('Pivot Table for Data Exchange'!$O$190)*100</f>
        <v>5.9334922829110983</v>
      </c>
      <c r="D231" s="261">
        <f t="shared" si="36"/>
        <v>43.659194602530299</v>
      </c>
      <c r="E231" s="260">
        <f>('Pivot Table for Data Exchange'!$O$193)*100</f>
        <v>43.659194602530299</v>
      </c>
      <c r="F231" s="260">
        <f>('Pivot Table for Data Exchange'!$O$196)*100</f>
        <v>0</v>
      </c>
      <c r="G231" s="268">
        <f>('Pivot Table for Data Exchange'!$O$199)*100</f>
        <v>0</v>
      </c>
      <c r="H231" s="260">
        <f>('Pivot Table for Data Exchange'!$O$202)*100</f>
        <v>0</v>
      </c>
      <c r="I231" s="298"/>
      <c r="J231" s="298"/>
      <c r="K231" s="298"/>
      <c r="L231" s="298"/>
      <c r="M231" s="298"/>
      <c r="N231" s="298"/>
      <c r="O231" s="298"/>
      <c r="P231" s="299"/>
      <c r="Q231" s="265">
        <f t="shared" si="34"/>
        <v>100</v>
      </c>
      <c r="R231" s="265"/>
      <c r="Z231" s="314"/>
      <c r="AA231" s="314"/>
      <c r="AB231" s="314"/>
      <c r="AC231" s="314"/>
      <c r="AD231" s="314"/>
      <c r="AE231" s="314"/>
      <c r="AF231" s="314"/>
      <c r="AG231" s="314"/>
      <c r="AH231" s="314"/>
      <c r="AI231" s="314"/>
      <c r="AJ231" s="314"/>
      <c r="AK231" s="314"/>
      <c r="AL231" s="314"/>
      <c r="AM231" s="314"/>
      <c r="AN231" s="314"/>
      <c r="AO231" s="314"/>
    </row>
    <row r="232" spans="1:41" ht="15.75" customHeight="1">
      <c r="A232" s="231" t="s">
        <v>672</v>
      </c>
      <c r="B232" s="260">
        <f>('Pivot Table for Data Exchange'!$O$223)*100</f>
        <v>74.503353362399722</v>
      </c>
      <c r="C232" s="260">
        <f>('Pivot Table for Data Exchange'!$O$226)*100</f>
        <v>0</v>
      </c>
      <c r="D232" s="261">
        <f>SUM(E232:G232)</f>
        <v>25.496646637600289</v>
      </c>
      <c r="E232" s="260">
        <f>('Pivot Table for Data Exchange'!$O$229)*100</f>
        <v>25.496646637600289</v>
      </c>
      <c r="F232" s="260">
        <f>('Pivot Table for Data Exchange'!$O$232)*100</f>
        <v>0</v>
      </c>
      <c r="G232" s="268">
        <f>('Pivot Table for Data Exchange'!$O$235)*100</f>
        <v>0</v>
      </c>
      <c r="H232" s="260">
        <f>('Pivot Table for Data Exchange'!$O$238)*100</f>
        <v>0</v>
      </c>
      <c r="Q232" s="265">
        <f t="shared" si="34"/>
        <v>100.00000000000001</v>
      </c>
      <c r="R232" s="265"/>
      <c r="Z232" s="314"/>
      <c r="AA232" s="314"/>
      <c r="AB232" s="314"/>
      <c r="AC232" s="314"/>
      <c r="AD232" s="314"/>
      <c r="AE232" s="314"/>
      <c r="AF232" s="314"/>
      <c r="AG232" s="314"/>
      <c r="AH232" s="314"/>
      <c r="AI232" s="314"/>
      <c r="AJ232" s="314"/>
      <c r="AK232" s="314"/>
      <c r="AL232" s="314"/>
      <c r="AM232" s="314"/>
      <c r="AN232" s="314"/>
      <c r="AO232" s="314"/>
    </row>
    <row r="233" spans="1:41" ht="15.75" customHeight="1">
      <c r="A233" s="231" t="s">
        <v>673</v>
      </c>
      <c r="B233" s="260">
        <f>('Pivot Table for Data Exchange'!$O$259)*100</f>
        <v>63.604585979986496</v>
      </c>
      <c r="C233" s="260">
        <f>('Pivot Table for Data Exchange'!$O$262)*100</f>
        <v>14.979146834390381</v>
      </c>
      <c r="D233" s="261">
        <f>SUM(E233:G233)</f>
        <v>21.415191667269383</v>
      </c>
      <c r="E233" s="260">
        <f>('Pivot Table for Data Exchange'!$O$265)*100</f>
        <v>21.312499581493896</v>
      </c>
      <c r="F233" s="260">
        <f>('Pivot Table for Data Exchange'!$O$268)*100</f>
        <v>0.10269208577548862</v>
      </c>
      <c r="G233" s="267">
        <f>('Pivot Table for Data Exchange'!$O$271)*100</f>
        <v>0</v>
      </c>
      <c r="H233" s="269">
        <f>('Pivot Table for Data Exchange'!$O$274)*100</f>
        <v>1.0755183537386318E-3</v>
      </c>
      <c r="I233" s="298"/>
      <c r="J233" s="298"/>
      <c r="K233" s="298"/>
      <c r="L233" s="298"/>
      <c r="M233" s="298"/>
      <c r="N233" s="298"/>
      <c r="O233" s="298"/>
      <c r="P233" s="299"/>
      <c r="Q233" s="265">
        <f t="shared" si="34"/>
        <v>100</v>
      </c>
      <c r="R233" s="265"/>
      <c r="Z233" s="314"/>
      <c r="AA233" s="314"/>
      <c r="AB233" s="314"/>
      <c r="AC233" s="314"/>
      <c r="AD233" s="314"/>
      <c r="AE233" s="314"/>
      <c r="AF233" s="314"/>
      <c r="AG233" s="314"/>
      <c r="AH233" s="314"/>
      <c r="AI233" s="314"/>
      <c r="AJ233" s="314"/>
      <c r="AK233" s="314"/>
      <c r="AL233" s="314"/>
      <c r="AM233" s="314"/>
      <c r="AN233" s="314"/>
      <c r="AO233" s="314"/>
    </row>
    <row r="234" spans="1:41" ht="15.75" customHeight="1">
      <c r="B234" s="260"/>
      <c r="C234" s="260"/>
      <c r="D234" s="261"/>
      <c r="E234" s="260"/>
      <c r="F234" s="260"/>
      <c r="G234" s="268"/>
      <c r="H234" s="260"/>
      <c r="I234" s="298"/>
      <c r="J234" s="298"/>
      <c r="K234" s="298"/>
      <c r="L234" s="298"/>
      <c r="M234" s="298"/>
      <c r="N234" s="298"/>
      <c r="O234" s="298"/>
      <c r="P234" s="299"/>
      <c r="Q234" s="265">
        <f t="shared" si="34"/>
        <v>0</v>
      </c>
      <c r="R234" s="265"/>
      <c r="Z234" s="314"/>
      <c r="AA234" s="314"/>
      <c r="AB234" s="314"/>
      <c r="AC234" s="314"/>
      <c r="AD234" s="314"/>
      <c r="AE234" s="314"/>
      <c r="AF234" s="314"/>
      <c r="AG234" s="314"/>
      <c r="AH234" s="314"/>
      <c r="AI234" s="314"/>
      <c r="AJ234" s="314"/>
      <c r="AK234" s="314"/>
      <c r="AL234" s="314"/>
      <c r="AM234" s="314"/>
      <c r="AN234" s="314"/>
      <c r="AO234" s="314"/>
    </row>
    <row r="235" spans="1:41" ht="15.75" customHeight="1">
      <c r="A235" s="231" t="s">
        <v>720</v>
      </c>
      <c r="B235" s="260">
        <f>('Pivot Table for Data Exchange'!$O$295)*100</f>
        <v>95.391674613140481</v>
      </c>
      <c r="C235" s="260">
        <f>('Pivot Table for Data Exchange'!$O$298)*100</f>
        <v>4.608325386859522</v>
      </c>
      <c r="D235" s="261">
        <f>SUM(E235:G235)</f>
        <v>0</v>
      </c>
      <c r="E235" s="260">
        <f>('Pivot Table for Data Exchange'!$O$301)*100</f>
        <v>0</v>
      </c>
      <c r="F235" s="260">
        <f>('Pivot Table for Data Exchange'!$O$304)*100</f>
        <v>0</v>
      </c>
      <c r="G235" s="268">
        <f>('Pivot Table for Data Exchange'!$O$307)*100</f>
        <v>0</v>
      </c>
      <c r="H235" s="260">
        <f>('Pivot Table for Data Exchange'!$O$310)*100</f>
        <v>0</v>
      </c>
      <c r="I235" s="298"/>
      <c r="J235" s="298"/>
      <c r="K235" s="298"/>
      <c r="L235" s="298"/>
      <c r="M235" s="298"/>
      <c r="N235" s="298"/>
      <c r="O235" s="298"/>
      <c r="P235" s="299"/>
      <c r="Q235" s="265">
        <f t="shared" si="34"/>
        <v>100</v>
      </c>
      <c r="R235" s="265"/>
      <c r="Z235" s="314"/>
      <c r="AA235" s="314"/>
      <c r="AB235" s="314"/>
      <c r="AC235" s="314"/>
      <c r="AD235" s="314"/>
      <c r="AE235" s="314"/>
      <c r="AF235" s="314"/>
      <c r="AG235" s="314"/>
      <c r="AH235" s="314"/>
      <c r="AI235" s="314"/>
      <c r="AJ235" s="314"/>
      <c r="AK235" s="314"/>
      <c r="AL235" s="314"/>
      <c r="AM235" s="314"/>
      <c r="AN235" s="314"/>
      <c r="AO235" s="314"/>
    </row>
    <row r="236" spans="1:41" ht="15.75" customHeight="1">
      <c r="A236" s="231" t="s">
        <v>675</v>
      </c>
      <c r="B236" s="260">
        <f>('Pivot Table for Data Exchange'!$O$331)*100</f>
        <v>50.216193951742881</v>
      </c>
      <c r="C236" s="260">
        <f>('Pivot Table for Data Exchange'!$O$334)*100</f>
        <v>3.8782477732807843</v>
      </c>
      <c r="D236" s="261">
        <f>SUM(E236:G236)</f>
        <v>45.905558274976336</v>
      </c>
      <c r="E236" s="260">
        <f>('Pivot Table for Data Exchange'!$O$337)*100</f>
        <v>45.753248602372487</v>
      </c>
      <c r="F236" s="260">
        <f>('Pivot Table for Data Exchange'!$O$340)*100</f>
        <v>0.15230967260384762</v>
      </c>
      <c r="G236" s="268">
        <f>('Pivot Table for Data Exchange'!$O$343)*100</f>
        <v>0</v>
      </c>
      <c r="H236" s="260">
        <f>('Pivot Table for Data Exchange'!$O$346)*100</f>
        <v>0</v>
      </c>
      <c r="I236" s="298"/>
      <c r="J236" s="298"/>
      <c r="K236" s="298"/>
      <c r="L236" s="298"/>
      <c r="M236" s="298"/>
      <c r="N236" s="298"/>
      <c r="O236" s="298"/>
      <c r="P236" s="299"/>
      <c r="Q236" s="265">
        <f t="shared" si="34"/>
        <v>100</v>
      </c>
      <c r="R236" s="265"/>
      <c r="Z236" s="314"/>
      <c r="AA236" s="314"/>
      <c r="AB236" s="314"/>
      <c r="AC236" s="314"/>
      <c r="AD236" s="314"/>
      <c r="AE236" s="314"/>
      <c r="AF236" s="314"/>
      <c r="AG236" s="314"/>
      <c r="AH236" s="314"/>
      <c r="AI236" s="314"/>
      <c r="AJ236" s="314"/>
      <c r="AK236" s="314"/>
      <c r="AL236" s="314"/>
      <c r="AM236" s="314"/>
      <c r="AN236" s="314"/>
      <c r="AO236" s="314"/>
    </row>
    <row r="237" spans="1:41" ht="15.75" customHeight="1">
      <c r="A237" s="231" t="s">
        <v>676</v>
      </c>
      <c r="B237" s="260">
        <f>('Pivot Table for Data Exchange'!$O$367)*100</f>
        <v>66.56850828774995</v>
      </c>
      <c r="C237" s="260">
        <f>('Pivot Table for Data Exchange'!$O$370)*100</f>
        <v>2.6678173178519451</v>
      </c>
      <c r="D237" s="261">
        <f>SUM(E237:G237)</f>
        <v>30.763674394398109</v>
      </c>
      <c r="E237" s="260">
        <f>('Pivot Table for Data Exchange'!$O$373)*100</f>
        <v>28.339942958370536</v>
      </c>
      <c r="F237" s="260">
        <f>('Pivot Table for Data Exchange'!$O$376)*100</f>
        <v>2.1188309361893314</v>
      </c>
      <c r="G237" s="268">
        <f>('Pivot Table for Data Exchange'!$O$379)*100</f>
        <v>0.30490049983824136</v>
      </c>
      <c r="H237" s="272">
        <f>('Pivot Table for Data Exchange'!$O$382)*100</f>
        <v>0</v>
      </c>
      <c r="I237" s="298"/>
      <c r="J237" s="298"/>
      <c r="K237" s="298"/>
      <c r="L237" s="298"/>
      <c r="M237" s="298"/>
      <c r="N237" s="298"/>
      <c r="O237" s="298"/>
      <c r="P237" s="299"/>
      <c r="Q237" s="265">
        <f t="shared" si="34"/>
        <v>100</v>
      </c>
      <c r="R237" s="265"/>
      <c r="Z237" s="314"/>
      <c r="AA237" s="314"/>
      <c r="AB237" s="314"/>
      <c r="AC237" s="314"/>
      <c r="AD237" s="314"/>
      <c r="AE237" s="314"/>
      <c r="AF237" s="314"/>
      <c r="AG237" s="314"/>
      <c r="AH237" s="314"/>
      <c r="AI237" s="314"/>
      <c r="AJ237" s="314"/>
      <c r="AK237" s="314"/>
      <c r="AL237" s="314"/>
      <c r="AM237" s="314"/>
      <c r="AN237" s="314"/>
      <c r="AO237" s="314"/>
    </row>
    <row r="238" spans="1:41" ht="15.75" customHeight="1">
      <c r="A238" s="231" t="s">
        <v>677</v>
      </c>
      <c r="B238" s="260">
        <f>('Pivot Table for Data Exchange'!$O$403)*100</f>
        <v>55.638509739998689</v>
      </c>
      <c r="C238" s="260">
        <f>('Pivot Table for Data Exchange'!$O$406)*100</f>
        <v>8.2711176950009797</v>
      </c>
      <c r="D238" s="261">
        <f>SUM(E238:G238)</f>
        <v>36.09037256500033</v>
      </c>
      <c r="E238" s="260">
        <f>('Pivot Table for Data Exchange'!$O$409)*100</f>
        <v>35.114030028939162</v>
      </c>
      <c r="F238" s="260">
        <f>('Pivot Table for Data Exchange'!$O$412)*100</f>
        <v>0.68862834835050224</v>
      </c>
      <c r="G238" s="268">
        <f>('Pivot Table for Data Exchange'!$O$415)*100</f>
        <v>0.28771418771065926</v>
      </c>
      <c r="H238" s="260">
        <f>('Pivot Table for Data Exchange'!$O$418)*100</f>
        <v>0</v>
      </c>
      <c r="I238" s="298"/>
      <c r="J238" s="298"/>
      <c r="K238" s="298"/>
      <c r="L238" s="298"/>
      <c r="M238" s="298"/>
      <c r="N238" s="298"/>
      <c r="O238" s="298"/>
      <c r="P238" s="299"/>
      <c r="Q238" s="265">
        <f t="shared" si="34"/>
        <v>100</v>
      </c>
      <c r="R238" s="265"/>
      <c r="Z238" s="314"/>
      <c r="AA238" s="314"/>
      <c r="AB238" s="314"/>
      <c r="AC238" s="314"/>
      <c r="AD238" s="314"/>
      <c r="AE238" s="314"/>
      <c r="AF238" s="314"/>
      <c r="AG238" s="314"/>
      <c r="AH238" s="314"/>
      <c r="AI238" s="314"/>
      <c r="AJ238" s="314"/>
      <c r="AK238" s="314"/>
      <c r="AL238" s="314"/>
      <c r="AM238" s="314"/>
      <c r="AN238" s="314"/>
      <c r="AO238" s="314"/>
    </row>
    <row r="239" spans="1:41" ht="10.5" customHeight="1">
      <c r="B239" s="260"/>
      <c r="C239" s="260"/>
      <c r="D239" s="261"/>
      <c r="E239" s="260"/>
      <c r="F239" s="260"/>
      <c r="G239" s="268"/>
      <c r="H239" s="260"/>
      <c r="I239" s="298"/>
      <c r="J239" s="298"/>
      <c r="K239" s="298"/>
      <c r="L239" s="298"/>
      <c r="M239" s="298"/>
      <c r="N239" s="298"/>
      <c r="O239" s="298"/>
      <c r="P239" s="299"/>
      <c r="Q239" s="265">
        <f t="shared" si="34"/>
        <v>0</v>
      </c>
      <c r="R239" s="265"/>
      <c r="Z239" s="314"/>
      <c r="AA239" s="314"/>
      <c r="AB239" s="314"/>
      <c r="AC239" s="314"/>
      <c r="AD239" s="314"/>
      <c r="AE239" s="314"/>
      <c r="AF239" s="314"/>
      <c r="AG239" s="314"/>
      <c r="AH239" s="314"/>
      <c r="AI239" s="314"/>
      <c r="AJ239" s="314"/>
      <c r="AK239" s="314"/>
      <c r="AL239" s="314"/>
      <c r="AM239" s="314"/>
      <c r="AN239" s="314"/>
      <c r="AO239" s="314"/>
    </row>
    <row r="240" spans="1:41" ht="15.75" customHeight="1">
      <c r="A240" s="231" t="s">
        <v>678</v>
      </c>
      <c r="B240" s="260">
        <f>('Pivot Table for Data Exchange'!$O$439)*100</f>
        <v>35.825927868115606</v>
      </c>
      <c r="C240" s="260">
        <f>('Pivot Table for Data Exchange'!$O$442)*100</f>
        <v>32.840702122379803</v>
      </c>
      <c r="D240" s="261">
        <f>SUM(E240:G240)</f>
        <v>31.153812839157041</v>
      </c>
      <c r="E240" s="260">
        <f>('Pivot Table for Data Exchange'!$O$445)*100</f>
        <v>24.184442904565483</v>
      </c>
      <c r="F240" s="260">
        <f>('Pivot Table for Data Exchange'!$O$448)*100</f>
        <v>1.5648629793848703</v>
      </c>
      <c r="G240" s="268">
        <f>('Pivot Table for Data Exchange'!$O$451)*100</f>
        <v>5.4045069552066902</v>
      </c>
      <c r="H240" s="260">
        <f>('Pivot Table for Data Exchange'!$O$454)*100</f>
        <v>0.17955717034754964</v>
      </c>
      <c r="I240" s="298"/>
      <c r="J240" s="298"/>
      <c r="K240" s="298"/>
      <c r="L240" s="298"/>
      <c r="M240" s="298"/>
      <c r="N240" s="298"/>
      <c r="O240" s="298"/>
      <c r="P240" s="299"/>
      <c r="Q240" s="265">
        <f t="shared" si="34"/>
        <v>100</v>
      </c>
      <c r="R240" s="265"/>
      <c r="Z240" s="314"/>
      <c r="AA240" s="314"/>
      <c r="AB240" s="314"/>
      <c r="AC240" s="314"/>
      <c r="AD240" s="314"/>
      <c r="AE240" s="314"/>
      <c r="AF240" s="314"/>
      <c r="AG240" s="314"/>
      <c r="AH240" s="314"/>
      <c r="AI240" s="314"/>
      <c r="AJ240" s="314"/>
      <c r="AK240" s="314"/>
      <c r="AL240" s="314"/>
      <c r="AM240" s="314"/>
      <c r="AN240" s="314"/>
      <c r="AO240" s="314"/>
    </row>
    <row r="241" spans="1:41" ht="15.75" customHeight="1">
      <c r="A241" s="231" t="s">
        <v>679</v>
      </c>
      <c r="B241" s="260">
        <f>('Pivot Table for Data Exchange'!$O$475)*100</f>
        <v>0</v>
      </c>
      <c r="C241" s="260">
        <f>('Pivot Table for Data Exchange'!$O$478)*100</f>
        <v>0</v>
      </c>
      <c r="D241" s="261">
        <f>SUM(E241:G241)</f>
        <v>0</v>
      </c>
      <c r="E241" s="260">
        <f>('Pivot Table for Data Exchange'!$O$481)*100</f>
        <v>0</v>
      </c>
      <c r="F241" s="260">
        <f>('Pivot Table for Data Exchange'!$O$484)*100</f>
        <v>0</v>
      </c>
      <c r="G241" s="268">
        <f>('Pivot Table for Data Exchange'!$O$487)*100</f>
        <v>0</v>
      </c>
      <c r="H241" s="260">
        <f>('Pivot Table for Data Exchange'!$O$490)*100</f>
        <v>0</v>
      </c>
      <c r="I241" s="298"/>
      <c r="J241" s="298"/>
      <c r="K241" s="298"/>
      <c r="L241" s="298"/>
      <c r="M241" s="298"/>
      <c r="N241" s="298"/>
      <c r="O241" s="298"/>
      <c r="P241" s="299"/>
      <c r="Q241" s="265">
        <f t="shared" si="34"/>
        <v>0</v>
      </c>
      <c r="R241" s="265"/>
      <c r="Z241" s="314"/>
      <c r="AA241" s="314"/>
      <c r="AB241" s="314"/>
      <c r="AC241" s="314"/>
      <c r="AD241" s="314"/>
      <c r="AE241" s="314"/>
      <c r="AF241" s="314"/>
      <c r="AG241" s="314"/>
      <c r="AH241" s="314"/>
      <c r="AI241" s="314"/>
      <c r="AJ241" s="314"/>
      <c r="AK241" s="314"/>
      <c r="AL241" s="314"/>
      <c r="AM241" s="314"/>
      <c r="AN241" s="314"/>
      <c r="AO241" s="314"/>
    </row>
    <row r="242" spans="1:41" ht="15.75" customHeight="1">
      <c r="A242" s="231" t="s">
        <v>680</v>
      </c>
      <c r="B242" s="260">
        <f>('Pivot Table for Data Exchange'!$O$511)*100</f>
        <v>52.013706961471918</v>
      </c>
      <c r="C242" s="260">
        <f>('Pivot Table for Data Exchange'!$O$514)*100</f>
        <v>16.204741840432504</v>
      </c>
      <c r="D242" s="261">
        <f>SUM(E242:G242)</f>
        <v>31.781551198095585</v>
      </c>
      <c r="E242" s="260">
        <f>('Pivot Table for Data Exchange'!$O$517)*100</f>
        <v>29.408777779088126</v>
      </c>
      <c r="F242" s="260">
        <f>('Pivot Table for Data Exchange'!$O$520)*100</f>
        <v>2.3727734190074581</v>
      </c>
      <c r="G242" s="268">
        <f>('Pivot Table for Data Exchange'!$O$523)*100</f>
        <v>0</v>
      </c>
      <c r="H242" s="260">
        <f>('Pivot Table for Data Exchange'!$O$526)*100</f>
        <v>0</v>
      </c>
      <c r="I242" s="298"/>
      <c r="J242" s="298"/>
      <c r="K242" s="298"/>
      <c r="L242" s="298"/>
      <c r="M242" s="298"/>
      <c r="N242" s="298"/>
      <c r="O242" s="298"/>
      <c r="P242" s="299"/>
      <c r="Q242" s="265">
        <f t="shared" si="34"/>
        <v>100.00000000000001</v>
      </c>
      <c r="R242" s="265"/>
      <c r="Z242" s="314"/>
      <c r="AA242" s="314"/>
      <c r="AB242" s="314"/>
      <c r="AC242" s="314"/>
      <c r="AD242" s="314"/>
      <c r="AE242" s="314"/>
      <c r="AF242" s="314"/>
      <c r="AG242" s="314"/>
      <c r="AH242" s="314"/>
      <c r="AI242" s="314"/>
      <c r="AJ242" s="314"/>
      <c r="AK242" s="314"/>
      <c r="AL242" s="314"/>
      <c r="AM242" s="314"/>
      <c r="AN242" s="314"/>
      <c r="AO242" s="314"/>
    </row>
    <row r="243" spans="1:41" ht="15.75" customHeight="1">
      <c r="A243" s="237" t="s">
        <v>681</v>
      </c>
      <c r="B243" s="273">
        <f>('Pivot Table for Data Exchange'!$O$547)*100</f>
        <v>54.802868562593552</v>
      </c>
      <c r="C243" s="273">
        <f>('Pivot Table for Data Exchange'!$O$550)*100</f>
        <v>11.983047409137512</v>
      </c>
      <c r="D243" s="274">
        <f>SUM(E243:G243)</f>
        <v>33.214084028268935</v>
      </c>
      <c r="E243" s="273">
        <f>('Pivot Table for Data Exchange'!$O$553)*100</f>
        <v>32.034475385298613</v>
      </c>
      <c r="F243" s="273">
        <f>('Pivot Table for Data Exchange'!$O$556)*100</f>
        <v>1.1752224616346201</v>
      </c>
      <c r="G243" s="275">
        <f>('Pivot Table for Data Exchange'!$O$559)*100</f>
        <v>4.3861813357018711E-3</v>
      </c>
      <c r="H243" s="273">
        <f>('Pivot Table for Data Exchange'!$O$562)*100</f>
        <v>0</v>
      </c>
      <c r="I243" s="298"/>
      <c r="J243" s="298"/>
      <c r="K243" s="298"/>
      <c r="L243" s="298"/>
      <c r="M243" s="298"/>
      <c r="N243" s="298"/>
      <c r="O243" s="298"/>
      <c r="P243" s="299"/>
      <c r="Q243" s="265">
        <f t="shared" si="34"/>
        <v>100</v>
      </c>
      <c r="R243" s="265"/>
      <c r="Z243" s="314"/>
      <c r="AA243" s="314"/>
      <c r="AB243" s="314"/>
      <c r="AC243" s="314"/>
      <c r="AD243" s="314"/>
      <c r="AE243" s="314"/>
      <c r="AF243" s="314"/>
      <c r="AG243" s="314"/>
      <c r="AH243" s="314"/>
      <c r="AI243" s="314"/>
      <c r="AJ243" s="314"/>
      <c r="AK243" s="314"/>
      <c r="AL243" s="314"/>
      <c r="AM243" s="314"/>
      <c r="AN243" s="314"/>
      <c r="AO243" s="314"/>
    </row>
    <row r="244" spans="1:41" s="304" customFormat="1" ht="12.75" customHeight="1">
      <c r="A244" s="279" t="s">
        <v>706</v>
      </c>
      <c r="B244" s="280"/>
      <c r="C244" s="280"/>
      <c r="D244" s="281"/>
      <c r="E244" s="280"/>
      <c r="F244" s="281"/>
      <c r="G244" s="281"/>
      <c r="H244" s="280"/>
      <c r="I244" s="289"/>
      <c r="J244" s="280"/>
      <c r="K244" s="280"/>
      <c r="L244" s="281"/>
      <c r="M244" s="280"/>
      <c r="N244" s="281"/>
      <c r="O244" s="281"/>
      <c r="P244" s="280"/>
      <c r="Q244" s="265">
        <f t="shared" si="34"/>
        <v>0</v>
      </c>
      <c r="R244" s="300"/>
      <c r="S244" s="317"/>
      <c r="T244" s="317"/>
      <c r="U244" s="317"/>
      <c r="V244" s="317"/>
      <c r="W244" s="317"/>
      <c r="X244" s="317"/>
      <c r="Y244" s="317"/>
      <c r="Z244" s="317"/>
      <c r="AA244" s="317"/>
      <c r="AB244" s="317"/>
      <c r="AC244" s="317"/>
      <c r="AD244" s="317"/>
      <c r="AE244" s="317"/>
      <c r="AF244" s="317"/>
      <c r="AG244" s="317"/>
      <c r="AH244" s="317"/>
      <c r="AI244" s="317"/>
      <c r="AJ244" s="317"/>
      <c r="AK244" s="317"/>
      <c r="AL244" s="317"/>
      <c r="AM244" s="317"/>
      <c r="AN244" s="317"/>
      <c r="AO244" s="317"/>
    </row>
    <row r="245" spans="1:41" s="304" customFormat="1" ht="24.75" customHeight="1">
      <c r="A245" s="490" t="s">
        <v>721</v>
      </c>
      <c r="B245" s="491"/>
      <c r="C245" s="491"/>
      <c r="D245" s="491"/>
      <c r="E245" s="491"/>
      <c r="F245" s="491"/>
      <c r="G245" s="491"/>
      <c r="H245" s="491"/>
      <c r="I245" s="289"/>
      <c r="J245" s="278"/>
      <c r="K245" s="278"/>
      <c r="L245" s="278"/>
      <c r="M245" s="278"/>
      <c r="N245" s="278"/>
      <c r="O245" s="278"/>
      <c r="P245" s="291"/>
      <c r="Q245" s="265">
        <f t="shared" si="34"/>
        <v>0</v>
      </c>
      <c r="R245" s="301"/>
    </row>
    <row r="246" spans="1:41" ht="12" customHeight="1">
      <c r="B246" s="302"/>
      <c r="C246" s="302"/>
      <c r="D246" s="303"/>
      <c r="E246" s="302"/>
      <c r="F246" s="303"/>
      <c r="G246" s="303"/>
      <c r="H246" s="302"/>
      <c r="I246" s="231"/>
      <c r="J246" s="302"/>
      <c r="K246" s="302"/>
      <c r="L246" s="303"/>
      <c r="M246" s="302"/>
      <c r="N246" s="303"/>
      <c r="O246" s="303"/>
      <c r="P246" s="302"/>
      <c r="Q246" s="265">
        <f t="shared" si="34"/>
        <v>0</v>
      </c>
      <c r="R246" s="265"/>
      <c r="S246" s="314"/>
      <c r="T246" s="314"/>
      <c r="U246" s="314"/>
      <c r="V246" s="314"/>
      <c r="W246" s="314"/>
      <c r="X246" s="314"/>
      <c r="Y246" s="314"/>
      <c r="Z246" s="314"/>
      <c r="AA246" s="314"/>
      <c r="AB246" s="314"/>
      <c r="AC246" s="314"/>
      <c r="AD246" s="314"/>
      <c r="AE246" s="314"/>
      <c r="AF246" s="314"/>
      <c r="AG246" s="314"/>
      <c r="AH246" s="314"/>
      <c r="AI246" s="314"/>
      <c r="AJ246" s="314"/>
      <c r="AK246" s="314"/>
      <c r="AL246" s="314"/>
      <c r="AM246" s="314"/>
      <c r="AN246" s="314"/>
      <c r="AO246" s="314"/>
    </row>
    <row r="247" spans="1:41" s="304" customFormat="1">
      <c r="A247" s="278"/>
      <c r="B247" s="278"/>
      <c r="C247" s="278"/>
      <c r="D247" s="278"/>
      <c r="E247" s="278"/>
      <c r="F247" s="278"/>
      <c r="G247" s="278"/>
      <c r="H247" s="284" t="s">
        <v>839</v>
      </c>
      <c r="I247" s="278"/>
      <c r="J247" s="278"/>
      <c r="K247" s="278"/>
      <c r="L247" s="278"/>
      <c r="M247" s="278"/>
      <c r="N247" s="278"/>
      <c r="O247" s="278"/>
      <c r="P247" s="278"/>
      <c r="Q247" s="265">
        <f t="shared" si="34"/>
        <v>0</v>
      </c>
    </row>
    <row r="248" spans="1:41" ht="18">
      <c r="A248" s="226" t="s">
        <v>722</v>
      </c>
      <c r="B248" s="227"/>
      <c r="C248" s="227"/>
      <c r="D248" s="227"/>
      <c r="E248" s="227"/>
      <c r="F248" s="227"/>
      <c r="G248" s="227"/>
      <c r="H248" s="227"/>
      <c r="Q248" s="265">
        <f t="shared" si="34"/>
        <v>0</v>
      </c>
    </row>
    <row r="249" spans="1:41" ht="13">
      <c r="A249" s="232"/>
      <c r="B249" s="228"/>
      <c r="C249" s="228"/>
      <c r="D249" s="228"/>
      <c r="E249" s="228"/>
      <c r="F249" s="228"/>
      <c r="G249" s="228"/>
      <c r="H249" s="228"/>
      <c r="Q249" s="265">
        <f t="shared" si="34"/>
        <v>0</v>
      </c>
    </row>
    <row r="250" spans="1:41" ht="15.5">
      <c r="A250" s="234" t="s">
        <v>687</v>
      </c>
      <c r="B250" s="228"/>
      <c r="C250" s="228"/>
      <c r="D250" s="228"/>
      <c r="E250" s="228"/>
      <c r="F250" s="228"/>
      <c r="G250" s="228"/>
      <c r="H250" s="228"/>
      <c r="Q250" s="265">
        <f t="shared" si="34"/>
        <v>0</v>
      </c>
    </row>
    <row r="251" spans="1:41" ht="15.5">
      <c r="A251" s="234" t="s">
        <v>832</v>
      </c>
      <c r="B251" s="228"/>
      <c r="C251" s="228"/>
      <c r="D251" s="228"/>
      <c r="E251" s="228"/>
      <c r="F251" s="228"/>
      <c r="G251" s="228"/>
      <c r="H251" s="228"/>
      <c r="Q251" s="265">
        <f t="shared" si="34"/>
        <v>0</v>
      </c>
    </row>
    <row r="252" spans="1:41">
      <c r="A252" s="237"/>
      <c r="B252" s="238"/>
      <c r="C252" s="238"/>
      <c r="D252" s="238"/>
      <c r="E252" s="238"/>
      <c r="F252" s="238"/>
      <c r="G252" s="238"/>
      <c r="H252" s="238"/>
      <c r="Q252" s="265">
        <f t="shared" si="34"/>
        <v>0</v>
      </c>
    </row>
    <row r="253" spans="1:41">
      <c r="A253" s="242"/>
      <c r="B253" s="243" t="s">
        <v>689</v>
      </c>
      <c r="C253" s="243"/>
      <c r="D253" s="243"/>
      <c r="E253" s="243"/>
      <c r="F253" s="243"/>
      <c r="G253" s="243"/>
      <c r="H253" s="244"/>
      <c r="Q253" s="265">
        <f t="shared" si="34"/>
        <v>0</v>
      </c>
    </row>
    <row r="254" spans="1:41">
      <c r="A254" s="242"/>
      <c r="B254" s="243" t="s">
        <v>690</v>
      </c>
      <c r="C254" s="243"/>
      <c r="D254" s="485" t="s">
        <v>691</v>
      </c>
      <c r="E254" s="483"/>
      <c r="F254" s="483"/>
      <c r="G254" s="483"/>
      <c r="H254" s="250" t="s">
        <v>581</v>
      </c>
      <c r="Q254" s="265">
        <f t="shared" si="34"/>
        <v>0</v>
      </c>
    </row>
    <row r="255" spans="1:41" ht="34.5">
      <c r="A255" s="242"/>
      <c r="B255" s="251" t="s">
        <v>692</v>
      </c>
      <c r="C255" s="252" t="s">
        <v>693</v>
      </c>
      <c r="D255" s="253" t="s">
        <v>694</v>
      </c>
      <c r="E255" s="254" t="s">
        <v>8</v>
      </c>
      <c r="F255" s="251" t="s">
        <v>695</v>
      </c>
      <c r="G255" s="255" t="s">
        <v>704</v>
      </c>
      <c r="H255" s="256" t="s">
        <v>697</v>
      </c>
      <c r="Q255" s="265">
        <f t="shared" si="34"/>
        <v>0</v>
      </c>
    </row>
    <row r="256" spans="1:41" ht="15.75" customHeight="1">
      <c r="A256" s="286" t="s">
        <v>666</v>
      </c>
      <c r="B256" s="313">
        <f>('Pivot Table for Data Exchange'!$K$7)*100</f>
        <v>0</v>
      </c>
      <c r="C256" s="260">
        <f>('Pivot Table for Data Exchange'!$K$10)*100</f>
        <v>0</v>
      </c>
      <c r="D256" s="261">
        <f>SUM(E256:G256)</f>
        <v>0</v>
      </c>
      <c r="E256" s="260">
        <f>('Pivot Table for Data Exchange'!$K$13)*100</f>
        <v>0</v>
      </c>
      <c r="F256" s="260">
        <f>('Pivot Table for Data Exchange'!$K$16)*100</f>
        <v>0</v>
      </c>
      <c r="G256" s="264">
        <f>('Pivot Table for Data Exchange'!$K$19)*100</f>
        <v>0</v>
      </c>
      <c r="H256" s="260">
        <f>('Pivot Table for Data Exchange'!$K$22)*100</f>
        <v>0</v>
      </c>
      <c r="I256" s="231"/>
      <c r="J256" s="299"/>
      <c r="K256" s="299"/>
      <c r="L256" s="299"/>
      <c r="M256" s="299"/>
      <c r="N256" s="299"/>
      <c r="O256" s="299"/>
      <c r="P256" s="299"/>
      <c r="Q256" s="265">
        <f t="shared" si="34"/>
        <v>0</v>
      </c>
      <c r="R256" s="265"/>
      <c r="S256" s="314"/>
      <c r="T256" s="314"/>
      <c r="U256" s="314"/>
      <c r="V256" s="314"/>
      <c r="W256" s="314"/>
      <c r="X256" s="314"/>
      <c r="Y256" s="314"/>
      <c r="Z256" s="314"/>
      <c r="AA256" s="314"/>
      <c r="AB256" s="314"/>
      <c r="AC256" s="314"/>
      <c r="AD256" s="314"/>
      <c r="AE256" s="314"/>
      <c r="AF256" s="314"/>
      <c r="AG256" s="314"/>
      <c r="AH256" s="314"/>
      <c r="AI256" s="314"/>
      <c r="AJ256" s="314"/>
      <c r="AK256" s="314"/>
      <c r="AL256" s="314"/>
      <c r="AM256" s="314"/>
      <c r="AN256" s="314"/>
      <c r="AO256" s="314"/>
    </row>
    <row r="257" spans="1:41" ht="15.75" customHeight="1">
      <c r="A257" s="231" t="s">
        <v>667</v>
      </c>
      <c r="B257" s="260">
        <f>('Pivot Table for Data Exchange'!$K$43)*100</f>
        <v>0</v>
      </c>
      <c r="C257" s="260">
        <f>('Pivot Table for Data Exchange'!$K$46)*100</f>
        <v>0</v>
      </c>
      <c r="D257" s="261">
        <f t="shared" ref="D257:D259" si="37">SUM(E257:G257)</f>
        <v>0</v>
      </c>
      <c r="E257" s="260">
        <f>('Pivot Table for Data Exchange'!$K$49)*100</f>
        <v>0</v>
      </c>
      <c r="F257" s="260">
        <f>('Pivot Table for Data Exchange'!$K$52)*100</f>
        <v>0</v>
      </c>
      <c r="G257" s="268">
        <f>('Pivot Table for Data Exchange'!$K$55)*100</f>
        <v>0</v>
      </c>
      <c r="H257" s="260">
        <f>('Pivot Table for Data Exchange'!$K$58)*100</f>
        <v>0</v>
      </c>
      <c r="I257" s="231"/>
      <c r="J257" s="299"/>
      <c r="K257" s="299"/>
      <c r="L257" s="299"/>
      <c r="M257" s="299"/>
      <c r="N257" s="299"/>
      <c r="O257" s="299"/>
      <c r="P257" s="299"/>
      <c r="Q257" s="265">
        <f t="shared" si="34"/>
        <v>0</v>
      </c>
      <c r="R257" s="265"/>
      <c r="S257" s="314"/>
      <c r="T257" s="314"/>
      <c r="U257" s="314"/>
      <c r="V257" s="314"/>
      <c r="W257" s="314"/>
      <c r="X257" s="314"/>
      <c r="Y257" s="314"/>
      <c r="Z257" s="314"/>
      <c r="AA257" s="314"/>
      <c r="AB257" s="314"/>
      <c r="AC257" s="314"/>
      <c r="AD257" s="314"/>
      <c r="AE257" s="314"/>
      <c r="AF257" s="314"/>
      <c r="AG257" s="314"/>
      <c r="AH257" s="314"/>
      <c r="AI257" s="314"/>
      <c r="AJ257" s="314"/>
      <c r="AK257" s="314"/>
      <c r="AL257" s="314"/>
      <c r="AM257" s="314"/>
      <c r="AN257" s="314"/>
      <c r="AO257" s="314"/>
    </row>
    <row r="258" spans="1:41" ht="15.75" customHeight="1">
      <c r="A258" s="231" t="s">
        <v>668</v>
      </c>
      <c r="B258" s="260">
        <f>('Pivot Table for Data Exchange'!$K$79)*100</f>
        <v>0</v>
      </c>
      <c r="C258" s="260">
        <f>('Pivot Table for Data Exchange'!$K$82)*100</f>
        <v>0</v>
      </c>
      <c r="D258" s="261">
        <f t="shared" si="37"/>
        <v>0</v>
      </c>
      <c r="E258" s="260">
        <f>('Pivot Table for Data Exchange'!$K$85)*100</f>
        <v>0</v>
      </c>
      <c r="F258" s="260">
        <f>('Pivot Table for Data Exchange'!$K$88)*100</f>
        <v>0</v>
      </c>
      <c r="G258" s="268">
        <f>('Pivot Table for Data Exchange'!$K$91)*100</f>
        <v>0</v>
      </c>
      <c r="H258" s="260">
        <f>('Pivot Table for Data Exchange'!$K$94)*100</f>
        <v>0</v>
      </c>
      <c r="I258" s="231"/>
      <c r="J258" s="299"/>
      <c r="K258" s="299"/>
      <c r="L258" s="299"/>
      <c r="M258" s="299"/>
      <c r="N258" s="299"/>
      <c r="O258" s="299"/>
      <c r="P258" s="299"/>
      <c r="Q258" s="265">
        <f t="shared" si="34"/>
        <v>0</v>
      </c>
      <c r="R258" s="265"/>
      <c r="S258" s="314"/>
      <c r="T258" s="318"/>
      <c r="U258" s="314"/>
      <c r="V258" s="314"/>
      <c r="W258" s="314"/>
      <c r="X258" s="314"/>
      <c r="Y258" s="314"/>
      <c r="Z258" s="314"/>
      <c r="AA258" s="314"/>
      <c r="AB258" s="314"/>
      <c r="AC258" s="314"/>
      <c r="AD258" s="314"/>
      <c r="AE258" s="314"/>
      <c r="AF258" s="314"/>
      <c r="AG258" s="314"/>
      <c r="AH258" s="314"/>
      <c r="AI258" s="314"/>
      <c r="AJ258" s="314"/>
      <c r="AK258" s="314"/>
      <c r="AL258" s="314"/>
      <c r="AM258" s="314"/>
      <c r="AN258" s="314"/>
      <c r="AO258" s="314"/>
    </row>
    <row r="259" spans="1:41" ht="15.75" customHeight="1">
      <c r="A259" s="231" t="s">
        <v>705</v>
      </c>
      <c r="B259" s="260">
        <f>('Pivot Table for Data Exchange'!$K$115)*100</f>
        <v>67.088731462459705</v>
      </c>
      <c r="C259" s="260">
        <f>('Pivot Table for Data Exchange'!$K$118)*100</f>
        <v>3.3530420428579526</v>
      </c>
      <c r="D259" s="261">
        <f t="shared" si="37"/>
        <v>29.516995310762184</v>
      </c>
      <c r="E259" s="260">
        <f>('Pivot Table for Data Exchange'!$K$121)*100</f>
        <v>29.03388800168883</v>
      </c>
      <c r="F259" s="260">
        <f>('Pivot Table for Data Exchange'!$K$124)*100</f>
        <v>1.1166015437932591E-2</v>
      </c>
      <c r="G259" s="268">
        <f>('Pivot Table for Data Exchange'!$K$127)*100</f>
        <v>0.47194129363542009</v>
      </c>
      <c r="H259" s="272">
        <f>('Pivot Table for Data Exchange'!$K$130)*100</f>
        <v>4.1231183920155907E-2</v>
      </c>
      <c r="I259" s="231"/>
      <c r="J259" s="299"/>
      <c r="K259" s="299"/>
      <c r="L259" s="299"/>
      <c r="M259" s="299"/>
      <c r="N259" s="299"/>
      <c r="O259" s="299"/>
      <c r="P259" s="299"/>
      <c r="Q259" s="265">
        <f t="shared" si="34"/>
        <v>100</v>
      </c>
      <c r="R259" s="265"/>
      <c r="S259" s="314"/>
      <c r="U259" s="314"/>
      <c r="V259" s="314"/>
      <c r="W259" s="314"/>
      <c r="X259" s="314"/>
      <c r="Y259" s="314"/>
      <c r="Z259" s="314"/>
      <c r="AA259" s="314"/>
      <c r="AB259" s="314"/>
      <c r="AC259" s="314"/>
      <c r="AD259" s="314"/>
      <c r="AE259" s="314"/>
      <c r="AF259" s="314"/>
      <c r="AG259" s="314"/>
      <c r="AH259" s="314"/>
      <c r="AI259" s="314"/>
      <c r="AJ259" s="314"/>
      <c r="AK259" s="314"/>
      <c r="AL259" s="314"/>
      <c r="AM259" s="314"/>
      <c r="AN259" s="314"/>
      <c r="AO259" s="314"/>
    </row>
    <row r="260" spans="1:41" ht="15.75" customHeight="1">
      <c r="B260" s="260"/>
      <c r="C260" s="260"/>
      <c r="D260" s="261"/>
      <c r="E260" s="260"/>
      <c r="F260" s="260"/>
      <c r="G260" s="268"/>
      <c r="H260" s="260"/>
      <c r="I260" s="231"/>
      <c r="J260" s="299"/>
      <c r="K260" s="299"/>
      <c r="L260" s="299"/>
      <c r="M260" s="299"/>
      <c r="N260" s="299"/>
      <c r="O260" s="299"/>
      <c r="P260" s="299"/>
      <c r="Q260" s="265">
        <f t="shared" si="34"/>
        <v>0</v>
      </c>
      <c r="R260" s="265"/>
      <c r="S260" s="314"/>
      <c r="U260" s="314"/>
      <c r="V260" s="314"/>
      <c r="W260" s="314"/>
      <c r="X260" s="314"/>
      <c r="Y260" s="314"/>
      <c r="Z260" s="314"/>
      <c r="AA260" s="314"/>
      <c r="AB260" s="314"/>
      <c r="AC260" s="314"/>
      <c r="AD260" s="314"/>
      <c r="AE260" s="314"/>
      <c r="AF260" s="314"/>
      <c r="AG260" s="314"/>
      <c r="AH260" s="314"/>
      <c r="AI260" s="314"/>
      <c r="AJ260" s="314"/>
      <c r="AK260" s="314"/>
      <c r="AL260" s="314"/>
      <c r="AM260" s="314"/>
      <c r="AN260" s="314"/>
      <c r="AO260" s="314"/>
    </row>
    <row r="261" spans="1:41" ht="15.75" customHeight="1">
      <c r="A261" s="231" t="s">
        <v>670</v>
      </c>
      <c r="B261" s="260">
        <f>('Pivot Table for Data Exchange'!$K$151)*100</f>
        <v>52.471761675143668</v>
      </c>
      <c r="C261" s="260">
        <f>('Pivot Table for Data Exchange'!$K$154)*100</f>
        <v>18.325516876940355</v>
      </c>
      <c r="D261" s="261">
        <f t="shared" ref="D261:D262" si="38">SUM(E261:G261)</f>
        <v>29.20272144791598</v>
      </c>
      <c r="E261" s="260">
        <f>('Pivot Table for Data Exchange'!$K$157)*100</f>
        <v>29.20272144791598</v>
      </c>
      <c r="F261" s="260">
        <f>('Pivot Table for Data Exchange'!$K$160)*100</f>
        <v>0</v>
      </c>
      <c r="G261" s="268">
        <f>('Pivot Table for Data Exchange'!$K$163)*100</f>
        <v>0</v>
      </c>
      <c r="H261" s="272">
        <f>('Pivot Table for Data Exchange'!$K$166)*100</f>
        <v>0</v>
      </c>
      <c r="I261" s="231"/>
      <c r="J261" s="299"/>
      <c r="K261" s="299"/>
      <c r="L261" s="299"/>
      <c r="M261" s="299"/>
      <c r="N261" s="299"/>
      <c r="O261" s="299"/>
      <c r="P261" s="299"/>
      <c r="Q261" s="265">
        <f t="shared" si="34"/>
        <v>100</v>
      </c>
      <c r="R261" s="265"/>
      <c r="S261" s="314"/>
      <c r="T261" s="314"/>
      <c r="U261" s="314"/>
      <c r="V261" s="314"/>
      <c r="W261" s="314"/>
      <c r="X261" s="314"/>
      <c r="Y261" s="314"/>
      <c r="Z261" s="314"/>
      <c r="AA261" s="314"/>
      <c r="AB261" s="314"/>
      <c r="AC261" s="314"/>
      <c r="AD261" s="314"/>
      <c r="AE261" s="314"/>
      <c r="AF261" s="314"/>
      <c r="AG261" s="314"/>
      <c r="AH261" s="314"/>
      <c r="AI261" s="314"/>
      <c r="AJ261" s="314"/>
      <c r="AK261" s="314"/>
      <c r="AL261" s="314"/>
      <c r="AM261" s="314"/>
      <c r="AN261" s="314"/>
      <c r="AO261" s="314"/>
    </row>
    <row r="262" spans="1:41" ht="15.75" customHeight="1">
      <c r="A262" s="231" t="s">
        <v>671</v>
      </c>
      <c r="B262" s="260">
        <f>('Pivot Table for Data Exchange'!$K$187)*100</f>
        <v>0</v>
      </c>
      <c r="C262" s="260">
        <f>('Pivot Table for Data Exchange'!$K$190)*100</f>
        <v>0</v>
      </c>
      <c r="D262" s="261">
        <f t="shared" si="38"/>
        <v>0</v>
      </c>
      <c r="E262" s="260">
        <f>('Pivot Table for Data Exchange'!$K$193)*100</f>
        <v>0</v>
      </c>
      <c r="F262" s="260">
        <f>('Pivot Table for Data Exchange'!$K$196)*100</f>
        <v>0</v>
      </c>
      <c r="G262" s="268">
        <f>('Pivot Table for Data Exchange'!$K$199)*100</f>
        <v>0</v>
      </c>
      <c r="H262" s="260">
        <f>('Pivot Table for Data Exchange'!$K$202)*100</f>
        <v>0</v>
      </c>
      <c r="I262" s="231"/>
      <c r="J262" s="299"/>
      <c r="K262" s="299"/>
      <c r="L262" s="299"/>
      <c r="M262" s="299"/>
      <c r="N262" s="299"/>
      <c r="O262" s="299"/>
      <c r="P262" s="299"/>
      <c r="Q262" s="265">
        <f t="shared" si="34"/>
        <v>0</v>
      </c>
      <c r="R262" s="265"/>
      <c r="S262" s="314"/>
      <c r="T262" s="314"/>
      <c r="U262" s="314"/>
      <c r="V262" s="314"/>
      <c r="W262" s="314"/>
      <c r="X262" s="314"/>
      <c r="Y262" s="314"/>
      <c r="Z262" s="314"/>
      <c r="AA262" s="314"/>
      <c r="AB262" s="314"/>
      <c r="AC262" s="314"/>
      <c r="AD262" s="314"/>
      <c r="AE262" s="314"/>
      <c r="AF262" s="314"/>
      <c r="AG262" s="314"/>
      <c r="AH262" s="314"/>
      <c r="AI262" s="314"/>
      <c r="AJ262" s="314"/>
      <c r="AK262" s="314"/>
      <c r="AL262" s="314"/>
      <c r="AM262" s="314"/>
      <c r="AN262" s="314"/>
      <c r="AO262" s="314"/>
    </row>
    <row r="263" spans="1:41" ht="15.75" customHeight="1">
      <c r="A263" s="231" t="s">
        <v>672</v>
      </c>
      <c r="B263" s="260">
        <f>('Pivot Table for Data Exchange'!$K$223)*100</f>
        <v>0</v>
      </c>
      <c r="C263" s="260">
        <f>('Pivot Table for Data Exchange'!$K$226)*100</f>
        <v>0</v>
      </c>
      <c r="D263" s="261">
        <f>SUM(E263:G263)</f>
        <v>0</v>
      </c>
      <c r="E263" s="260">
        <f>('Pivot Table for Data Exchange'!$K$229)*100</f>
        <v>0</v>
      </c>
      <c r="F263" s="260">
        <f>('Pivot Table for Data Exchange'!$K$232)*100</f>
        <v>0</v>
      </c>
      <c r="G263" s="268">
        <f>('Pivot Table for Data Exchange'!$K$235)*100</f>
        <v>0</v>
      </c>
      <c r="H263" s="260">
        <f>('Pivot Table for Data Exchange'!$K$238)*100</f>
        <v>0</v>
      </c>
      <c r="I263" s="231"/>
      <c r="J263" s="299"/>
      <c r="K263" s="299"/>
      <c r="L263" s="299"/>
      <c r="M263" s="299"/>
      <c r="N263" s="299"/>
      <c r="O263" s="299"/>
      <c r="P263" s="299"/>
      <c r="Q263" s="265">
        <f t="shared" si="34"/>
        <v>0</v>
      </c>
      <c r="R263" s="265"/>
      <c r="S263" s="314"/>
      <c r="T263" s="318"/>
      <c r="U263" s="314"/>
      <c r="V263" s="314"/>
      <c r="W263" s="314"/>
      <c r="X263" s="314"/>
      <c r="Y263" s="314"/>
      <c r="Z263" s="314"/>
      <c r="AA263" s="314"/>
      <c r="AB263" s="314"/>
      <c r="AC263" s="314"/>
      <c r="AD263" s="314"/>
      <c r="AE263" s="314"/>
      <c r="AF263" s="314"/>
      <c r="AG263" s="314"/>
      <c r="AH263" s="314"/>
      <c r="AI263" s="314"/>
      <c r="AJ263" s="314"/>
      <c r="AK263" s="314"/>
      <c r="AL263" s="314"/>
      <c r="AM263" s="314"/>
      <c r="AN263" s="314"/>
      <c r="AO263" s="314"/>
    </row>
    <row r="264" spans="1:41" ht="15.75" customHeight="1">
      <c r="A264" s="231" t="s">
        <v>673</v>
      </c>
      <c r="B264" s="260">
        <f>('Pivot Table for Data Exchange'!$K$259)*100</f>
        <v>0</v>
      </c>
      <c r="C264" s="260">
        <f>('Pivot Table for Data Exchange'!$K$262)*100</f>
        <v>0</v>
      </c>
      <c r="D264" s="261">
        <f>SUM(E264:G264)</f>
        <v>0</v>
      </c>
      <c r="E264" s="260">
        <f>('Pivot Table for Data Exchange'!$K$265)*100</f>
        <v>0</v>
      </c>
      <c r="F264" s="260">
        <f>('Pivot Table for Data Exchange'!$K$268)*100</f>
        <v>0</v>
      </c>
      <c r="G264" s="268">
        <f>('Pivot Table for Data Exchange'!$K$271)*100</f>
        <v>0</v>
      </c>
      <c r="H264" s="260">
        <f>('Pivot Table for Data Exchange'!$K$274)*100</f>
        <v>0</v>
      </c>
      <c r="I264" s="231"/>
      <c r="J264" s="299"/>
      <c r="K264" s="299"/>
      <c r="L264" s="299"/>
      <c r="M264" s="299"/>
      <c r="N264" s="299"/>
      <c r="O264" s="299"/>
      <c r="P264" s="299"/>
      <c r="Q264" s="265">
        <f t="shared" si="34"/>
        <v>0</v>
      </c>
      <c r="R264" s="265"/>
      <c r="S264" s="314"/>
      <c r="U264" s="314"/>
      <c r="V264" s="314"/>
      <c r="W264" s="314"/>
      <c r="X264" s="314"/>
      <c r="Y264" s="314"/>
      <c r="Z264" s="314"/>
      <c r="AA264" s="314"/>
      <c r="AB264" s="314"/>
      <c r="AC264" s="314"/>
      <c r="AD264" s="314"/>
      <c r="AE264" s="314"/>
      <c r="AF264" s="314"/>
      <c r="AG264" s="314"/>
      <c r="AH264" s="314"/>
      <c r="AI264" s="314"/>
      <c r="AJ264" s="314"/>
      <c r="AK264" s="314"/>
      <c r="AL264" s="314"/>
      <c r="AM264" s="314"/>
      <c r="AN264" s="314"/>
      <c r="AO264" s="314"/>
    </row>
    <row r="265" spans="1:41" ht="15.75" customHeight="1">
      <c r="B265" s="260"/>
      <c r="C265" s="260"/>
      <c r="D265" s="261"/>
      <c r="E265" s="260"/>
      <c r="F265" s="260"/>
      <c r="G265" s="268"/>
      <c r="H265" s="260"/>
      <c r="I265" s="231"/>
      <c r="J265" s="299"/>
      <c r="K265" s="299"/>
      <c r="L265" s="299"/>
      <c r="M265" s="299"/>
      <c r="N265" s="299"/>
      <c r="O265" s="299"/>
      <c r="P265" s="299"/>
      <c r="Q265" s="265">
        <f t="shared" si="34"/>
        <v>0</v>
      </c>
      <c r="R265" s="265"/>
      <c r="S265" s="314"/>
      <c r="U265" s="314"/>
      <c r="V265" s="314"/>
      <c r="W265" s="314"/>
      <c r="X265" s="314"/>
      <c r="Y265" s="314"/>
      <c r="Z265" s="314"/>
      <c r="AA265" s="314"/>
      <c r="AB265" s="314"/>
      <c r="AC265" s="314"/>
      <c r="AD265" s="314"/>
      <c r="AE265" s="314"/>
      <c r="AF265" s="314"/>
      <c r="AG265" s="314"/>
      <c r="AH265" s="314"/>
      <c r="AI265" s="314"/>
      <c r="AJ265" s="314"/>
      <c r="AK265" s="314"/>
      <c r="AL265" s="314"/>
      <c r="AM265" s="314"/>
      <c r="AN265" s="314"/>
      <c r="AO265" s="314"/>
    </row>
    <row r="266" spans="1:41" ht="15.75" customHeight="1">
      <c r="A266" s="231" t="s">
        <v>674</v>
      </c>
      <c r="B266" s="260">
        <f>('Pivot Table for Data Exchange'!$K$295)*100</f>
        <v>0</v>
      </c>
      <c r="C266" s="260">
        <f>('Pivot Table for Data Exchange'!$K$298)*100</f>
        <v>0</v>
      </c>
      <c r="D266" s="261">
        <f>SUM(E266:G266)</f>
        <v>0</v>
      </c>
      <c r="E266" s="260">
        <f>('Pivot Table for Data Exchange'!$K$301)*100</f>
        <v>0</v>
      </c>
      <c r="F266" s="260">
        <f>('Pivot Table for Data Exchange'!$K$304)*100</f>
        <v>0</v>
      </c>
      <c r="G266" s="268">
        <f>('Pivot Table for Data Exchange'!$K$307)*100</f>
        <v>0</v>
      </c>
      <c r="H266" s="260">
        <f>('Pivot Table for Data Exchange'!$K$310)*100</f>
        <v>0</v>
      </c>
      <c r="I266" s="231"/>
      <c r="J266" s="299"/>
      <c r="K266" s="299"/>
      <c r="L266" s="299"/>
      <c r="M266" s="299"/>
      <c r="N266" s="299"/>
      <c r="O266" s="299"/>
      <c r="P266" s="299"/>
      <c r="Q266" s="265">
        <f t="shared" si="34"/>
        <v>0</v>
      </c>
      <c r="R266" s="265"/>
      <c r="S266" s="314"/>
      <c r="T266" s="314"/>
      <c r="U266" s="314"/>
      <c r="V266" s="314"/>
      <c r="W266" s="314"/>
      <c r="X266" s="314"/>
      <c r="Y266" s="314"/>
      <c r="Z266" s="314"/>
      <c r="AA266" s="314"/>
      <c r="AB266" s="314"/>
      <c r="AC266" s="314"/>
      <c r="AD266" s="314"/>
      <c r="AE266" s="314"/>
      <c r="AF266" s="314"/>
      <c r="AG266" s="314"/>
      <c r="AH266" s="314"/>
      <c r="AI266" s="314"/>
      <c r="AJ266" s="314"/>
      <c r="AK266" s="314"/>
      <c r="AL266" s="314"/>
      <c r="AM266" s="314"/>
      <c r="AN266" s="314"/>
      <c r="AO266" s="314"/>
    </row>
    <row r="267" spans="1:41" ht="15.75" customHeight="1">
      <c r="A267" s="231" t="s">
        <v>675</v>
      </c>
      <c r="B267" s="260">
        <f>('Pivot Table for Data Exchange'!$K$331)*100</f>
        <v>0</v>
      </c>
      <c r="C267" s="260">
        <f>('Pivot Table for Data Exchange'!$K$334)*100</f>
        <v>0</v>
      </c>
      <c r="D267" s="261">
        <f>SUM(E267:G267)</f>
        <v>0</v>
      </c>
      <c r="E267" s="260">
        <f>('Pivot Table for Data Exchange'!$K$337)*100</f>
        <v>0</v>
      </c>
      <c r="F267" s="260">
        <f>('Pivot Table for Data Exchange'!$K$340)*100</f>
        <v>0</v>
      </c>
      <c r="G267" s="268">
        <f>('Pivot Table for Data Exchange'!$K$343)*100</f>
        <v>0</v>
      </c>
      <c r="H267" s="260">
        <f>('Pivot Table for Data Exchange'!$K$346)*100</f>
        <v>0</v>
      </c>
      <c r="I267" s="231"/>
      <c r="J267" s="299"/>
      <c r="K267" s="299"/>
      <c r="L267" s="299"/>
      <c r="M267" s="299"/>
      <c r="N267" s="299"/>
      <c r="O267" s="299"/>
      <c r="P267" s="299"/>
      <c r="Q267" s="265">
        <f t="shared" si="34"/>
        <v>0</v>
      </c>
      <c r="R267" s="265"/>
      <c r="S267" s="314"/>
      <c r="T267" s="314"/>
      <c r="U267" s="314"/>
      <c r="V267" s="314"/>
      <c r="W267" s="314"/>
      <c r="X267" s="314"/>
      <c r="Y267" s="314"/>
      <c r="Z267" s="314"/>
      <c r="AA267" s="314"/>
      <c r="AB267" s="314"/>
      <c r="AC267" s="314"/>
      <c r="AD267" s="314"/>
      <c r="AE267" s="314"/>
      <c r="AF267" s="314"/>
      <c r="AG267" s="314"/>
      <c r="AH267" s="314"/>
      <c r="AI267" s="314"/>
      <c r="AJ267" s="314"/>
      <c r="AK267" s="314"/>
      <c r="AL267" s="314"/>
      <c r="AM267" s="314"/>
      <c r="AN267" s="314"/>
      <c r="AO267" s="314"/>
    </row>
    <row r="268" spans="1:41" ht="15.75" customHeight="1">
      <c r="A268" s="231" t="s">
        <v>676</v>
      </c>
      <c r="B268" s="260">
        <f>('Pivot Table for Data Exchange'!$K$367)*100</f>
        <v>65.223780895123582</v>
      </c>
      <c r="C268" s="260">
        <f>('Pivot Table for Data Exchange'!$K$370)*100</f>
        <v>1.5415446277169723E-3</v>
      </c>
      <c r="D268" s="261">
        <f>SUM(E268:G268)</f>
        <v>34.774677560248705</v>
      </c>
      <c r="E268" s="260">
        <f>('Pivot Table for Data Exchange'!$K$373)*100</f>
        <v>34.774677560248705</v>
      </c>
      <c r="F268" s="260">
        <f>('Pivot Table for Data Exchange'!$K$376)*100</f>
        <v>0</v>
      </c>
      <c r="G268" s="268">
        <f>('Pivot Table for Data Exchange'!$K$379)*100</f>
        <v>0</v>
      </c>
      <c r="H268" s="260">
        <f>('Pivot Table for Data Exchange'!$K$382)*100</f>
        <v>0</v>
      </c>
      <c r="I268" s="231"/>
      <c r="J268" s="299"/>
      <c r="K268" s="299"/>
      <c r="L268" s="299"/>
      <c r="M268" s="299"/>
      <c r="N268" s="299"/>
      <c r="O268" s="299"/>
      <c r="P268" s="299"/>
      <c r="Q268" s="265">
        <f t="shared" si="34"/>
        <v>100</v>
      </c>
      <c r="R268" s="265"/>
      <c r="S268" s="314"/>
      <c r="T268" s="318"/>
      <c r="U268" s="314"/>
      <c r="V268" s="314"/>
      <c r="W268" s="314"/>
      <c r="X268" s="314"/>
      <c r="Y268" s="314"/>
      <c r="Z268" s="314"/>
      <c r="AA268" s="314"/>
      <c r="AB268" s="314"/>
      <c r="AC268" s="314"/>
      <c r="AD268" s="314"/>
      <c r="AE268" s="314"/>
      <c r="AF268" s="314"/>
      <c r="AG268" s="314"/>
      <c r="AH268" s="314"/>
      <c r="AI268" s="314"/>
      <c r="AJ268" s="314"/>
      <c r="AK268" s="314"/>
      <c r="AL268" s="314"/>
      <c r="AM268" s="314"/>
      <c r="AN268" s="314"/>
      <c r="AO268" s="314"/>
    </row>
    <row r="269" spans="1:41" ht="15.75" customHeight="1">
      <c r="A269" s="231" t="s">
        <v>677</v>
      </c>
      <c r="B269" s="260">
        <f>('Pivot Table for Data Exchange'!$K$403)*100</f>
        <v>0</v>
      </c>
      <c r="C269" s="260">
        <f>('Pivot Table for Data Exchange'!$K$406)*100</f>
        <v>0</v>
      </c>
      <c r="D269" s="261">
        <f>SUM(E269:G269)</f>
        <v>0</v>
      </c>
      <c r="E269" s="260">
        <f>('Pivot Table for Data Exchange'!$K$409)*100</f>
        <v>0</v>
      </c>
      <c r="F269" s="260">
        <f>('Pivot Table for Data Exchange'!$K$412)*100</f>
        <v>0</v>
      </c>
      <c r="G269" s="268">
        <f>('Pivot Table for Data Exchange'!$K$415)*100</f>
        <v>0</v>
      </c>
      <c r="H269" s="260">
        <f>('Pivot Table for Data Exchange'!$K$418)*100</f>
        <v>0</v>
      </c>
      <c r="I269" s="231"/>
      <c r="J269" s="299"/>
      <c r="K269" s="299"/>
      <c r="L269" s="299"/>
      <c r="M269" s="299"/>
      <c r="N269" s="299"/>
      <c r="O269" s="299"/>
      <c r="P269" s="299"/>
      <c r="Q269" s="265">
        <f t="shared" si="34"/>
        <v>0</v>
      </c>
      <c r="R269" s="265"/>
      <c r="S269" s="314"/>
      <c r="T269" s="314"/>
      <c r="U269" s="314"/>
      <c r="V269" s="314"/>
      <c r="W269" s="314"/>
      <c r="X269" s="314"/>
      <c r="Y269" s="314"/>
      <c r="Z269" s="314"/>
      <c r="AA269" s="314"/>
      <c r="AB269" s="314"/>
      <c r="AC269" s="314"/>
      <c r="AD269" s="314"/>
      <c r="AE269" s="314"/>
      <c r="AF269" s="314"/>
      <c r="AG269" s="314"/>
      <c r="AH269" s="314"/>
      <c r="AI269" s="314"/>
      <c r="AJ269" s="314"/>
      <c r="AK269" s="314"/>
      <c r="AL269" s="314"/>
      <c r="AM269" s="314"/>
      <c r="AN269" s="314"/>
      <c r="AO269" s="314"/>
    </row>
    <row r="270" spans="1:41" ht="15.75" customHeight="1">
      <c r="B270" s="260"/>
      <c r="C270" s="260"/>
      <c r="D270" s="261"/>
      <c r="E270" s="260"/>
      <c r="F270" s="260"/>
      <c r="G270" s="268"/>
      <c r="H270" s="260"/>
      <c r="I270" s="231"/>
      <c r="J270" s="299"/>
      <c r="K270" s="299"/>
      <c r="L270" s="299"/>
      <c r="M270" s="299"/>
      <c r="N270" s="299"/>
      <c r="O270" s="299"/>
      <c r="P270" s="299"/>
      <c r="Q270" s="265">
        <f t="shared" si="34"/>
        <v>0</v>
      </c>
      <c r="R270" s="265"/>
      <c r="S270" s="314"/>
      <c r="T270" s="314"/>
      <c r="U270" s="314"/>
      <c r="V270" s="314"/>
      <c r="W270" s="314"/>
      <c r="X270" s="314"/>
      <c r="Y270" s="314"/>
      <c r="Z270" s="314"/>
      <c r="AA270" s="314"/>
      <c r="AB270" s="314"/>
      <c r="AC270" s="314"/>
      <c r="AD270" s="314"/>
      <c r="AE270" s="314"/>
      <c r="AF270" s="314"/>
      <c r="AG270" s="314"/>
      <c r="AH270" s="314"/>
      <c r="AI270" s="314"/>
      <c r="AJ270" s="314"/>
      <c r="AK270" s="314"/>
      <c r="AL270" s="314"/>
      <c r="AM270" s="314"/>
      <c r="AN270" s="314"/>
      <c r="AO270" s="314"/>
    </row>
    <row r="271" spans="1:41" ht="15.75" customHeight="1">
      <c r="A271" s="231" t="s">
        <v>678</v>
      </c>
      <c r="B271" s="260">
        <f>('Pivot Table for Data Exchange'!$K$439)*100</f>
        <v>0</v>
      </c>
      <c r="C271" s="260">
        <f>('Pivot Table for Data Exchange'!$K$442)*100</f>
        <v>0</v>
      </c>
      <c r="D271" s="261">
        <f>SUM(E271:G271)</f>
        <v>0</v>
      </c>
      <c r="E271" s="260">
        <f>('Pivot Table for Data Exchange'!$K$445)*100</f>
        <v>0</v>
      </c>
      <c r="F271" s="260">
        <f>('Pivot Table for Data Exchange'!$K$448)*100</f>
        <v>0</v>
      </c>
      <c r="G271" s="268">
        <f>('Pivot Table for Data Exchange'!$K$451)*100</f>
        <v>0</v>
      </c>
      <c r="H271" s="260">
        <f>('Pivot Table for Data Exchange'!$K$454)*100</f>
        <v>0</v>
      </c>
      <c r="I271" s="231"/>
      <c r="J271" s="299"/>
      <c r="K271" s="299"/>
      <c r="L271" s="299"/>
      <c r="M271" s="299"/>
      <c r="N271" s="299"/>
      <c r="O271" s="299"/>
      <c r="P271" s="299"/>
      <c r="Q271" s="265">
        <f t="shared" si="34"/>
        <v>0</v>
      </c>
      <c r="R271" s="265"/>
      <c r="S271" s="314"/>
      <c r="T271" s="314"/>
      <c r="U271" s="314"/>
      <c r="V271" s="314"/>
      <c r="W271" s="314"/>
      <c r="X271" s="314"/>
      <c r="Y271" s="314"/>
      <c r="Z271" s="314"/>
      <c r="AA271" s="314"/>
      <c r="AB271" s="314"/>
      <c r="AC271" s="314"/>
      <c r="AD271" s="314"/>
      <c r="AE271" s="314"/>
      <c r="AF271" s="314"/>
      <c r="AG271" s="314"/>
      <c r="AH271" s="314"/>
      <c r="AI271" s="314"/>
      <c r="AJ271" s="314"/>
      <c r="AK271" s="314"/>
      <c r="AL271" s="314"/>
      <c r="AM271" s="314"/>
      <c r="AN271" s="314"/>
      <c r="AO271" s="314"/>
    </row>
    <row r="272" spans="1:41" ht="15.75" customHeight="1">
      <c r="A272" s="231" t="s">
        <v>679</v>
      </c>
      <c r="B272" s="260">
        <f>('Pivot Table for Data Exchange'!$K$475)*100</f>
        <v>0</v>
      </c>
      <c r="C272" s="260">
        <f>('Pivot Table for Data Exchange'!$K$478)*100</f>
        <v>0</v>
      </c>
      <c r="D272" s="261">
        <f>SUM(E272:G272)</f>
        <v>0</v>
      </c>
      <c r="E272" s="260">
        <f>('Pivot Table for Data Exchange'!$K$481)*100</f>
        <v>0</v>
      </c>
      <c r="F272" s="260">
        <f>('Pivot Table for Data Exchange'!$K$484)*100</f>
        <v>0</v>
      </c>
      <c r="G272" s="267">
        <f>('Pivot Table for Data Exchange'!$K$487)*100</f>
        <v>0</v>
      </c>
      <c r="H272" s="260">
        <f>('Pivot Table for Data Exchange'!$K$490)*100</f>
        <v>0</v>
      </c>
      <c r="I272" s="231"/>
      <c r="J272" s="299"/>
      <c r="K272" s="299"/>
      <c r="L272" s="299"/>
      <c r="M272" s="299"/>
      <c r="N272" s="299"/>
      <c r="O272" s="299"/>
      <c r="P272" s="299"/>
      <c r="Q272" s="265">
        <f t="shared" si="34"/>
        <v>0</v>
      </c>
      <c r="R272" s="265"/>
      <c r="S272" s="314"/>
      <c r="T272" s="314"/>
      <c r="U272" s="314"/>
      <c r="V272" s="314"/>
      <c r="W272" s="314"/>
      <c r="X272" s="314"/>
      <c r="Y272" s="314"/>
      <c r="Z272" s="314"/>
      <c r="AA272" s="314"/>
      <c r="AB272" s="314"/>
      <c r="AC272" s="314"/>
      <c r="AD272" s="314"/>
      <c r="AE272" s="314"/>
      <c r="AF272" s="314"/>
      <c r="AG272" s="314"/>
      <c r="AH272" s="314"/>
      <c r="AI272" s="314"/>
      <c r="AJ272" s="314"/>
      <c r="AK272" s="314"/>
      <c r="AL272" s="314"/>
      <c r="AM272" s="314"/>
      <c r="AN272" s="314"/>
      <c r="AO272" s="314"/>
    </row>
    <row r="273" spans="1:41" ht="15.75" customHeight="1">
      <c r="A273" s="231" t="s">
        <v>680</v>
      </c>
      <c r="B273" s="260">
        <f>('Pivot Table for Data Exchange'!$K$511)*100</f>
        <v>0</v>
      </c>
      <c r="C273" s="260">
        <f>('Pivot Table for Data Exchange'!$K$514)*100</f>
        <v>0</v>
      </c>
      <c r="D273" s="261">
        <f>SUM(E273:G273)</f>
        <v>0</v>
      </c>
      <c r="E273" s="260">
        <f>('Pivot Table for Data Exchange'!$K$517)*100</f>
        <v>0</v>
      </c>
      <c r="F273" s="260">
        <f>('Pivot Table for Data Exchange'!$K$520)*100</f>
        <v>0</v>
      </c>
      <c r="G273" s="268">
        <f>('Pivot Table for Data Exchange'!$K$523)*100</f>
        <v>0</v>
      </c>
      <c r="H273" s="260">
        <f>('Pivot Table for Data Exchange'!$K$526)*100</f>
        <v>0</v>
      </c>
      <c r="I273" s="231"/>
      <c r="J273" s="299"/>
      <c r="K273" s="299"/>
      <c r="L273" s="299"/>
      <c r="M273" s="299"/>
      <c r="N273" s="299"/>
      <c r="O273" s="299"/>
      <c r="P273" s="299"/>
      <c r="Q273" s="265">
        <f t="shared" si="34"/>
        <v>0</v>
      </c>
      <c r="R273" s="265"/>
      <c r="S273" s="314"/>
      <c r="T273" s="314"/>
      <c r="U273" s="314"/>
      <c r="V273" s="314"/>
      <c r="W273" s="314"/>
      <c r="X273" s="314"/>
      <c r="Y273" s="314"/>
      <c r="Z273" s="314"/>
      <c r="AA273" s="314"/>
      <c r="AB273" s="314"/>
      <c r="AC273" s="314"/>
      <c r="AD273" s="314"/>
      <c r="AE273" s="314"/>
      <c r="AF273" s="314"/>
      <c r="AG273" s="314"/>
      <c r="AH273" s="314"/>
      <c r="AI273" s="314"/>
      <c r="AJ273" s="314"/>
      <c r="AK273" s="314"/>
      <c r="AL273" s="314"/>
      <c r="AM273" s="314"/>
      <c r="AN273" s="314"/>
      <c r="AO273" s="314"/>
    </row>
    <row r="274" spans="1:41" ht="15.75" customHeight="1">
      <c r="A274" s="237" t="s">
        <v>681</v>
      </c>
      <c r="B274" s="273">
        <f>('Pivot Table for Data Exchange'!$K$547)*100</f>
        <v>56.021602368396707</v>
      </c>
      <c r="C274" s="273">
        <f>('Pivot Table for Data Exchange'!$K$550)*100</f>
        <v>7.1988620593949486</v>
      </c>
      <c r="D274" s="274">
        <f>SUM(E274:G274)</f>
        <v>36.779535572208339</v>
      </c>
      <c r="E274" s="273">
        <f>('Pivot Table for Data Exchange'!$K$553)*100</f>
        <v>36.761032472939213</v>
      </c>
      <c r="F274" s="273">
        <f>('Pivot Table for Data Exchange'!$K$556)*100</f>
        <v>0</v>
      </c>
      <c r="G274" s="275">
        <f>('Pivot Table for Data Exchange'!$K$559)*100</f>
        <v>1.850309926912758E-2</v>
      </c>
      <c r="H274" s="273">
        <f>('Pivot Table for Data Exchange'!$K$562)*100</f>
        <v>0</v>
      </c>
      <c r="I274" s="231"/>
      <c r="J274" s="299"/>
      <c r="K274" s="299"/>
      <c r="L274" s="299"/>
      <c r="M274" s="299"/>
      <c r="N274" s="299"/>
      <c r="O274" s="299"/>
      <c r="P274" s="299"/>
      <c r="Q274" s="265">
        <f t="shared" si="34"/>
        <v>100</v>
      </c>
      <c r="R274" s="265"/>
      <c r="S274" s="314"/>
      <c r="T274" s="314"/>
      <c r="U274" s="314"/>
      <c r="V274" s="314"/>
      <c r="W274" s="314"/>
      <c r="X274" s="314"/>
      <c r="Y274" s="314"/>
      <c r="Z274" s="314"/>
      <c r="AA274" s="314"/>
      <c r="AB274" s="314"/>
      <c r="AC274" s="314"/>
      <c r="AD274" s="314"/>
      <c r="AE274" s="314"/>
      <c r="AF274" s="314"/>
      <c r="AG274" s="314"/>
      <c r="AH274" s="314"/>
      <c r="AI274" s="314"/>
      <c r="AJ274" s="314"/>
      <c r="AK274" s="314"/>
      <c r="AL274" s="314"/>
      <c r="AM274" s="314"/>
      <c r="AN274" s="314"/>
      <c r="AO274" s="314"/>
    </row>
    <row r="275" spans="1:41" s="304" customFormat="1" ht="12.75" customHeight="1">
      <c r="A275" s="279" t="s">
        <v>706</v>
      </c>
      <c r="B275" s="280"/>
      <c r="C275" s="280"/>
      <c r="D275" s="281"/>
      <c r="E275" s="280"/>
      <c r="F275" s="281"/>
      <c r="G275" s="281"/>
      <c r="H275" s="280"/>
      <c r="I275" s="289"/>
      <c r="J275" s="280"/>
      <c r="K275" s="280"/>
      <c r="L275" s="281"/>
      <c r="M275" s="280"/>
      <c r="N275" s="281"/>
      <c r="O275" s="281"/>
      <c r="P275" s="280"/>
      <c r="Q275" s="265">
        <f t="shared" si="34"/>
        <v>0</v>
      </c>
      <c r="R275" s="300"/>
      <c r="S275" s="317"/>
      <c r="T275" s="317"/>
      <c r="U275" s="317"/>
      <c r="V275" s="317"/>
      <c r="W275" s="317"/>
      <c r="X275" s="317"/>
      <c r="Y275" s="317"/>
      <c r="Z275" s="317"/>
      <c r="AA275" s="317"/>
      <c r="AB275" s="317"/>
      <c r="AC275" s="317"/>
      <c r="AD275" s="317"/>
      <c r="AE275" s="317"/>
      <c r="AF275" s="317"/>
      <c r="AG275" s="317"/>
      <c r="AH275" s="317"/>
      <c r="AI275" s="317"/>
      <c r="AJ275" s="317"/>
      <c r="AK275" s="317"/>
      <c r="AL275" s="317"/>
      <c r="AM275" s="317"/>
      <c r="AN275" s="317"/>
      <c r="AO275" s="317"/>
    </row>
    <row r="276" spans="1:41" s="304" customFormat="1" ht="27" customHeight="1">
      <c r="A276" s="490" t="s">
        <v>723</v>
      </c>
      <c r="B276" s="491"/>
      <c r="C276" s="491"/>
      <c r="D276" s="491"/>
      <c r="E276" s="491"/>
      <c r="F276" s="491"/>
      <c r="G276" s="491"/>
      <c r="H276" s="491"/>
      <c r="I276" s="289"/>
      <c r="J276" s="278"/>
      <c r="K276" s="278"/>
      <c r="L276" s="278"/>
      <c r="M276" s="278"/>
      <c r="N276" s="278"/>
      <c r="O276" s="278"/>
      <c r="P276" s="291"/>
      <c r="Q276" s="265">
        <f t="shared" si="34"/>
        <v>0</v>
      </c>
      <c r="R276" s="301"/>
    </row>
    <row r="277" spans="1:41" s="304" customFormat="1" ht="13.5" customHeight="1">
      <c r="A277" s="231"/>
      <c r="B277" s="302"/>
      <c r="C277" s="302"/>
      <c r="D277" s="303"/>
      <c r="E277" s="302"/>
      <c r="F277" s="303"/>
      <c r="G277" s="303"/>
      <c r="H277" s="302"/>
      <c r="I277" s="289"/>
      <c r="J277" s="278"/>
      <c r="K277" s="278"/>
      <c r="L277" s="278"/>
      <c r="M277" s="278"/>
      <c r="N277" s="278"/>
      <c r="O277" s="278"/>
      <c r="P277" s="278"/>
      <c r="Q277" s="265">
        <f t="shared" si="34"/>
        <v>0</v>
      </c>
      <c r="R277" s="301"/>
    </row>
    <row r="278" spans="1:41" s="304" customFormat="1">
      <c r="A278" s="278"/>
      <c r="B278" s="278"/>
      <c r="C278" s="278"/>
      <c r="D278" s="278"/>
      <c r="E278" s="278"/>
      <c r="F278" s="278"/>
      <c r="G278" s="278"/>
      <c r="H278" s="284" t="s">
        <v>839</v>
      </c>
      <c r="I278" s="305"/>
      <c r="J278" s="278"/>
      <c r="K278" s="278"/>
      <c r="L278" s="278"/>
      <c r="M278" s="278"/>
      <c r="N278" s="278"/>
      <c r="O278" s="278"/>
      <c r="P278" s="278"/>
      <c r="Q278" s="265">
        <f t="shared" si="34"/>
        <v>0</v>
      </c>
      <c r="R278" s="301"/>
    </row>
    <row r="279" spans="1:41" ht="18">
      <c r="A279" s="226" t="s">
        <v>724</v>
      </c>
      <c r="B279" s="227"/>
      <c r="C279" s="227"/>
      <c r="D279" s="227"/>
      <c r="E279" s="227"/>
      <c r="F279" s="227"/>
      <c r="G279" s="227"/>
      <c r="H279" s="227"/>
      <c r="Q279" s="265">
        <f t="shared" si="34"/>
        <v>0</v>
      </c>
    </row>
    <row r="280" spans="1:41" ht="13">
      <c r="A280" s="232"/>
      <c r="B280" s="228"/>
      <c r="C280" s="228"/>
      <c r="D280" s="228"/>
      <c r="E280" s="228"/>
      <c r="F280" s="228"/>
      <c r="G280" s="228"/>
      <c r="H280" s="228"/>
      <c r="Q280" s="265">
        <f t="shared" si="34"/>
        <v>0</v>
      </c>
    </row>
    <row r="281" spans="1:41" ht="15.5">
      <c r="A281" s="234" t="s">
        <v>687</v>
      </c>
      <c r="B281" s="228"/>
      <c r="C281" s="228"/>
      <c r="D281" s="228"/>
      <c r="E281" s="228"/>
      <c r="F281" s="228"/>
      <c r="G281" s="228"/>
      <c r="H281" s="228"/>
      <c r="Q281" s="265">
        <f t="shared" si="34"/>
        <v>0</v>
      </c>
    </row>
    <row r="282" spans="1:41" ht="15.5">
      <c r="A282" s="234" t="s">
        <v>833</v>
      </c>
      <c r="B282" s="228"/>
      <c r="C282" s="228"/>
      <c r="D282" s="228"/>
      <c r="E282" s="228"/>
      <c r="F282" s="228"/>
      <c r="G282" s="228"/>
      <c r="H282" s="228"/>
      <c r="Q282" s="265">
        <f t="shared" ref="Q282:Q346" si="39">SUM(B282,C282,D282,H282)</f>
        <v>0</v>
      </c>
    </row>
    <row r="283" spans="1:41">
      <c r="A283" s="237"/>
      <c r="B283" s="238"/>
      <c r="C283" s="238"/>
      <c r="D283" s="238"/>
      <c r="E283" s="238"/>
      <c r="F283" s="238"/>
      <c r="G283" s="238"/>
      <c r="H283" s="238"/>
      <c r="Q283" s="265">
        <f t="shared" si="39"/>
        <v>0</v>
      </c>
    </row>
    <row r="284" spans="1:41">
      <c r="A284" s="242"/>
      <c r="B284" s="243" t="s">
        <v>689</v>
      </c>
      <c r="C284" s="243"/>
      <c r="D284" s="243"/>
      <c r="E284" s="243"/>
      <c r="F284" s="243"/>
      <c r="G284" s="243"/>
      <c r="H284" s="244"/>
      <c r="Q284" s="265">
        <f t="shared" si="39"/>
        <v>0</v>
      </c>
    </row>
    <row r="285" spans="1:41">
      <c r="A285" s="242"/>
      <c r="B285" s="243" t="s">
        <v>690</v>
      </c>
      <c r="C285" s="243"/>
      <c r="D285" s="485" t="s">
        <v>691</v>
      </c>
      <c r="E285" s="483"/>
      <c r="F285" s="483"/>
      <c r="G285" s="483"/>
      <c r="H285" s="250" t="s">
        <v>581</v>
      </c>
      <c r="Q285" s="265">
        <f t="shared" si="39"/>
        <v>0</v>
      </c>
    </row>
    <row r="286" spans="1:41" ht="34.5">
      <c r="A286" s="242"/>
      <c r="B286" s="251" t="s">
        <v>692</v>
      </c>
      <c r="C286" s="252" t="s">
        <v>693</v>
      </c>
      <c r="D286" s="253" t="s">
        <v>694</v>
      </c>
      <c r="E286" s="254" t="s">
        <v>8</v>
      </c>
      <c r="F286" s="251" t="s">
        <v>695</v>
      </c>
      <c r="G286" s="255" t="s">
        <v>704</v>
      </c>
      <c r="H286" s="256" t="s">
        <v>697</v>
      </c>
      <c r="Q286" s="265">
        <f t="shared" si="39"/>
        <v>0</v>
      </c>
    </row>
    <row r="287" spans="1:41" ht="15.75" customHeight="1">
      <c r="A287" s="286" t="s">
        <v>666</v>
      </c>
      <c r="B287" s="313">
        <f>('Pivot Table for Data Exchange'!$L$7)*100</f>
        <v>60.592469545957918</v>
      </c>
      <c r="C287" s="260">
        <f>('Pivot Table for Data Exchange'!$L$10)*100</f>
        <v>3.3524363233665562</v>
      </c>
      <c r="D287" s="261">
        <f>SUM(E287:G287)</f>
        <v>36.055094130675535</v>
      </c>
      <c r="E287" s="260">
        <f>('Pivot Table for Data Exchange'!$L$13)*100</f>
        <v>35.578903654485053</v>
      </c>
      <c r="F287" s="260">
        <f>('Pivot Table for Data Exchange'!$L$16)*100</f>
        <v>0.3028792912513843</v>
      </c>
      <c r="G287" s="264">
        <f>('Pivot Table for Data Exchange'!$L$19)*100</f>
        <v>0.17331118493909192</v>
      </c>
      <c r="H287" s="260">
        <f>('Pivot Table for Data Exchange'!$L$22)*100</f>
        <v>0</v>
      </c>
      <c r="I287" s="231"/>
      <c r="J287" s="299"/>
      <c r="K287" s="299"/>
      <c r="L287" s="299"/>
      <c r="M287" s="299"/>
      <c r="N287" s="299"/>
      <c r="O287" s="299"/>
      <c r="P287" s="299"/>
      <c r="Q287" s="265">
        <f t="shared" si="39"/>
        <v>100</v>
      </c>
      <c r="R287" s="265"/>
      <c r="S287" s="314"/>
      <c r="T287" s="314"/>
      <c r="U287" s="314"/>
      <c r="V287" s="314"/>
      <c r="W287" s="314"/>
      <c r="X287" s="314"/>
      <c r="Y287" s="314"/>
      <c r="Z287" s="314"/>
      <c r="AA287" s="314"/>
      <c r="AB287" s="314"/>
      <c r="AC287" s="314"/>
      <c r="AD287" s="314"/>
      <c r="AE287" s="314"/>
      <c r="AF287" s="314"/>
      <c r="AG287" s="314"/>
      <c r="AH287" s="314"/>
      <c r="AI287" s="314"/>
      <c r="AJ287" s="314"/>
      <c r="AK287" s="314"/>
      <c r="AL287" s="314"/>
      <c r="AM287" s="314"/>
      <c r="AN287" s="314"/>
      <c r="AO287" s="314"/>
    </row>
    <row r="288" spans="1:41" ht="15.75" customHeight="1">
      <c r="A288" s="231" t="s">
        <v>667</v>
      </c>
      <c r="B288" s="260">
        <f>('Pivot Table for Data Exchange'!$L$43)*100</f>
        <v>59.619294772325972</v>
      </c>
      <c r="C288" s="260">
        <f>('Pivot Table for Data Exchange'!$L$46)*100</f>
        <v>9.6206324575953772</v>
      </c>
      <c r="D288" s="261">
        <f t="shared" ref="D288:D290" si="40">SUM(E288:G288)</f>
        <v>30.760072770078654</v>
      </c>
      <c r="E288" s="260">
        <f>('Pivot Table for Data Exchange'!$L$49)*100</f>
        <v>30.760072770078654</v>
      </c>
      <c r="F288" s="272">
        <f>('Pivot Table for Data Exchange'!$L$52)*100</f>
        <v>0</v>
      </c>
      <c r="G288" s="268">
        <f>('Pivot Table for Data Exchange'!$L$55)*100</f>
        <v>0</v>
      </c>
      <c r="H288" s="260">
        <f>('Pivot Table for Data Exchange'!$L$58)*100</f>
        <v>0</v>
      </c>
      <c r="I288" s="231"/>
      <c r="J288" s="299"/>
      <c r="K288" s="299"/>
      <c r="L288" s="299"/>
      <c r="M288" s="299"/>
      <c r="N288" s="299"/>
      <c r="O288" s="299"/>
      <c r="P288" s="299"/>
      <c r="Q288" s="265">
        <f t="shared" si="39"/>
        <v>100</v>
      </c>
      <c r="R288" s="265"/>
      <c r="S288" s="314"/>
      <c r="T288" s="314"/>
      <c r="U288" s="314"/>
      <c r="V288" s="314"/>
      <c r="W288" s="314"/>
      <c r="X288" s="314"/>
      <c r="Y288" s="314"/>
      <c r="Z288" s="314"/>
      <c r="AA288" s="314"/>
      <c r="AB288" s="314"/>
      <c r="AC288" s="314"/>
      <c r="AD288" s="314"/>
      <c r="AE288" s="314"/>
      <c r="AF288" s="314"/>
      <c r="AG288" s="314"/>
      <c r="AH288" s="314"/>
      <c r="AI288" s="314"/>
      <c r="AJ288" s="314"/>
      <c r="AK288" s="314"/>
      <c r="AL288" s="314"/>
      <c r="AM288" s="314"/>
      <c r="AN288" s="314"/>
      <c r="AO288" s="314"/>
    </row>
    <row r="289" spans="1:41" ht="15.75" customHeight="1">
      <c r="A289" s="231" t="s">
        <v>668</v>
      </c>
      <c r="B289" s="260">
        <f>('Pivot Table for Data Exchange'!$L$79)*100</f>
        <v>0</v>
      </c>
      <c r="C289" s="260">
        <f>('Pivot Table for Data Exchange'!$L$82)*100</f>
        <v>0</v>
      </c>
      <c r="D289" s="261">
        <f t="shared" si="40"/>
        <v>0</v>
      </c>
      <c r="E289" s="260">
        <f>('Pivot Table for Data Exchange'!$L$85)*100</f>
        <v>0</v>
      </c>
      <c r="F289" s="260">
        <f>('Pivot Table for Data Exchange'!$L$88)*100</f>
        <v>0</v>
      </c>
      <c r="G289" s="267">
        <f>('Pivot Table for Data Exchange'!$L$91)*100</f>
        <v>0</v>
      </c>
      <c r="H289" s="260">
        <f>('Pivot Table for Data Exchange'!$L$94)*100</f>
        <v>0</v>
      </c>
      <c r="I289" s="231"/>
      <c r="J289" s="299"/>
      <c r="K289" s="299"/>
      <c r="L289" s="299"/>
      <c r="M289" s="299"/>
      <c r="N289" s="299"/>
      <c r="O289" s="299"/>
      <c r="P289" s="299"/>
      <c r="Q289" s="265">
        <f t="shared" si="39"/>
        <v>0</v>
      </c>
      <c r="R289" s="265"/>
      <c r="S289" s="314"/>
      <c r="T289" s="318"/>
      <c r="U289" s="314"/>
      <c r="V289" s="314"/>
      <c r="W289" s="314"/>
      <c r="X289" s="314"/>
      <c r="Y289" s="314"/>
      <c r="Z289" s="314"/>
      <c r="AA289" s="314"/>
      <c r="AB289" s="314"/>
      <c r="AC289" s="314"/>
      <c r="AD289" s="314"/>
      <c r="AE289" s="314"/>
      <c r="AF289" s="314"/>
      <c r="AG289" s="314"/>
      <c r="AH289" s="314"/>
      <c r="AI289" s="314"/>
      <c r="AJ289" s="314"/>
      <c r="AK289" s="314"/>
      <c r="AL289" s="314"/>
      <c r="AM289" s="314"/>
      <c r="AN289" s="314"/>
      <c r="AO289" s="314"/>
    </row>
    <row r="290" spans="1:41" ht="15.75" customHeight="1">
      <c r="A290" s="231" t="s">
        <v>705</v>
      </c>
      <c r="B290" s="260">
        <f>('Pivot Table for Data Exchange'!$L$115)*100</f>
        <v>61.081755718791221</v>
      </c>
      <c r="C290" s="260">
        <f>('Pivot Table for Data Exchange'!$L$118)*100</f>
        <v>4.5038322070702481</v>
      </c>
      <c r="D290" s="261">
        <f t="shared" si="40"/>
        <v>34.414412074138532</v>
      </c>
      <c r="E290" s="260">
        <f>('Pivot Table for Data Exchange'!$L$121)*100</f>
        <v>34.414412074138532</v>
      </c>
      <c r="F290" s="260">
        <f>('Pivot Table for Data Exchange'!$L$124)*100</f>
        <v>0</v>
      </c>
      <c r="G290" s="268">
        <f>('Pivot Table for Data Exchange'!$L$127)*100</f>
        <v>0</v>
      </c>
      <c r="H290" s="272">
        <f>('Pivot Table for Data Exchange'!$L$130)*100</f>
        <v>0</v>
      </c>
      <c r="I290" s="231"/>
      <c r="J290" s="299"/>
      <c r="K290" s="299"/>
      <c r="L290" s="299"/>
      <c r="M290" s="299"/>
      <c r="N290" s="299"/>
      <c r="O290" s="299"/>
      <c r="P290" s="299"/>
      <c r="Q290" s="265">
        <f t="shared" si="39"/>
        <v>100</v>
      </c>
      <c r="R290" s="265"/>
      <c r="S290" s="314"/>
      <c r="U290" s="314"/>
      <c r="V290" s="314"/>
      <c r="W290" s="314"/>
      <c r="X290" s="314"/>
      <c r="Y290" s="314"/>
      <c r="Z290" s="314"/>
      <c r="AA290" s="314"/>
      <c r="AB290" s="314"/>
      <c r="AC290" s="314"/>
      <c r="AD290" s="314"/>
      <c r="AE290" s="314"/>
      <c r="AF290" s="314"/>
      <c r="AG290" s="314"/>
      <c r="AH290" s="314"/>
      <c r="AI290" s="314"/>
      <c r="AJ290" s="314"/>
      <c r="AK290" s="314"/>
      <c r="AL290" s="314"/>
      <c r="AM290" s="314"/>
      <c r="AN290" s="314"/>
      <c r="AO290" s="314"/>
    </row>
    <row r="291" spans="1:41" ht="15.75" customHeight="1">
      <c r="B291" s="260"/>
      <c r="C291" s="260"/>
      <c r="D291" s="261"/>
      <c r="E291" s="260"/>
      <c r="F291" s="260"/>
      <c r="G291" s="268"/>
      <c r="H291" s="260"/>
      <c r="I291" s="231"/>
      <c r="J291" s="299"/>
      <c r="K291" s="299"/>
      <c r="L291" s="299"/>
      <c r="M291" s="299"/>
      <c r="N291" s="299"/>
      <c r="O291" s="299"/>
      <c r="P291" s="299"/>
      <c r="Q291" s="265">
        <f t="shared" si="39"/>
        <v>0</v>
      </c>
      <c r="R291" s="265"/>
      <c r="S291" s="314"/>
      <c r="U291" s="314"/>
      <c r="V291" s="314"/>
      <c r="W291" s="314"/>
      <c r="X291" s="314"/>
      <c r="Y291" s="314"/>
      <c r="Z291" s="314"/>
      <c r="AA291" s="314"/>
      <c r="AB291" s="314"/>
      <c r="AC291" s="314"/>
      <c r="AD291" s="314"/>
      <c r="AE291" s="314"/>
      <c r="AF291" s="314"/>
      <c r="AG291" s="314"/>
      <c r="AH291" s="314"/>
      <c r="AI291" s="314"/>
      <c r="AJ291" s="314"/>
      <c r="AK291" s="314"/>
      <c r="AL291" s="314"/>
      <c r="AM291" s="314"/>
      <c r="AN291" s="314"/>
      <c r="AO291" s="314"/>
    </row>
    <row r="292" spans="1:41" ht="15.75" customHeight="1">
      <c r="A292" s="231" t="s">
        <v>670</v>
      </c>
      <c r="B292" s="260">
        <f>('Pivot Table for Data Exchange'!$L$151)*100</f>
        <v>0</v>
      </c>
      <c r="C292" s="260">
        <f>('Pivot Table for Data Exchange'!$L$154)*100</f>
        <v>0</v>
      </c>
      <c r="D292" s="261">
        <f t="shared" ref="D292:D293" si="41">SUM(E292:G292)</f>
        <v>0</v>
      </c>
      <c r="E292" s="260">
        <f>('Pivot Table for Data Exchange'!$L$157)*100</f>
        <v>0</v>
      </c>
      <c r="F292" s="260">
        <f>('Pivot Table for Data Exchange'!$L$160)*100</f>
        <v>0</v>
      </c>
      <c r="G292" s="268">
        <f>('Pivot Table for Data Exchange'!$L$163)*100</f>
        <v>0</v>
      </c>
      <c r="H292" s="260">
        <f>('Pivot Table for Data Exchange'!$L$166)*100</f>
        <v>0</v>
      </c>
      <c r="I292" s="231"/>
      <c r="J292" s="299"/>
      <c r="K292" s="299"/>
      <c r="L292" s="299"/>
      <c r="M292" s="299"/>
      <c r="N292" s="299"/>
      <c r="O292" s="299"/>
      <c r="P292" s="299"/>
      <c r="Q292" s="265">
        <f t="shared" si="39"/>
        <v>0</v>
      </c>
      <c r="R292" s="265"/>
      <c r="S292" s="314"/>
      <c r="T292" s="314"/>
      <c r="U292" s="314"/>
      <c r="V292" s="314"/>
      <c r="W292" s="314"/>
      <c r="X292" s="314"/>
      <c r="Y292" s="314"/>
      <c r="Z292" s="314"/>
      <c r="AA292" s="314"/>
      <c r="AB292" s="314"/>
      <c r="AC292" s="314"/>
      <c r="AD292" s="314"/>
      <c r="AE292" s="314"/>
      <c r="AF292" s="314"/>
      <c r="AG292" s="314"/>
      <c r="AH292" s="314"/>
      <c r="AI292" s="314"/>
      <c r="AJ292" s="314"/>
      <c r="AK292" s="314"/>
      <c r="AL292" s="314"/>
      <c r="AM292" s="314"/>
      <c r="AN292" s="314"/>
      <c r="AO292" s="314"/>
    </row>
    <row r="293" spans="1:41" ht="15.75" customHeight="1">
      <c r="A293" s="231" t="s">
        <v>671</v>
      </c>
      <c r="B293" s="260">
        <f>('Pivot Table for Data Exchange'!$L$187)*100</f>
        <v>58.854800461651976</v>
      </c>
      <c r="C293" s="260">
        <f>('Pivot Table for Data Exchange'!$L$190)*100</f>
        <v>5.7074288077088839</v>
      </c>
      <c r="D293" s="261">
        <f t="shared" si="41"/>
        <v>35.437770730639137</v>
      </c>
      <c r="E293" s="260">
        <f>('Pivot Table for Data Exchange'!$L$193)*100</f>
        <v>35.437770730639137</v>
      </c>
      <c r="F293" s="272">
        <f>('Pivot Table for Data Exchange'!$L$196)*100</f>
        <v>0</v>
      </c>
      <c r="G293" s="267">
        <f>('Pivot Table for Data Exchange'!$L$199)*100</f>
        <v>0</v>
      </c>
      <c r="H293" s="260">
        <f>('Pivot Table for Data Exchange'!$L$202)*100</f>
        <v>0</v>
      </c>
      <c r="I293" s="231"/>
      <c r="J293" s="299"/>
      <c r="K293" s="299"/>
      <c r="L293" s="299"/>
      <c r="M293" s="299"/>
      <c r="N293" s="299"/>
      <c r="O293" s="299"/>
      <c r="P293" s="299"/>
      <c r="Q293" s="265">
        <f t="shared" si="39"/>
        <v>100</v>
      </c>
      <c r="R293" s="265"/>
      <c r="S293" s="314"/>
      <c r="T293" s="314"/>
      <c r="U293" s="314"/>
      <c r="V293" s="314"/>
      <c r="W293" s="314"/>
      <c r="X293" s="314"/>
      <c r="Y293" s="314"/>
      <c r="Z293" s="314"/>
      <c r="AA293" s="314"/>
      <c r="AB293" s="314"/>
      <c r="AC293" s="314"/>
      <c r="AD293" s="314"/>
      <c r="AE293" s="314"/>
      <c r="AF293" s="314"/>
      <c r="AG293" s="314"/>
      <c r="AH293" s="314"/>
      <c r="AI293" s="314"/>
      <c r="AJ293" s="314"/>
      <c r="AK293" s="314"/>
      <c r="AL293" s="314"/>
      <c r="AM293" s="314"/>
      <c r="AN293" s="314"/>
      <c r="AO293" s="314"/>
    </row>
    <row r="294" spans="1:41" ht="15.75" customHeight="1">
      <c r="A294" s="231" t="s">
        <v>672</v>
      </c>
      <c r="B294" s="260">
        <f>('Pivot Table for Data Exchange'!$L$223)*100</f>
        <v>78.93508204169791</v>
      </c>
      <c r="C294" s="260">
        <f>('Pivot Table for Data Exchange'!$L$226)*100</f>
        <v>0</v>
      </c>
      <c r="D294" s="261">
        <f>SUM(E294:G294)</f>
        <v>21.06491795830209</v>
      </c>
      <c r="E294" s="260">
        <f>('Pivot Table for Data Exchange'!$L$229)*100</f>
        <v>21.06491795830209</v>
      </c>
      <c r="F294" s="260">
        <f>('Pivot Table for Data Exchange'!$L$232)*100</f>
        <v>0</v>
      </c>
      <c r="G294" s="268">
        <f>('Pivot Table for Data Exchange'!$L$235)*100</f>
        <v>0</v>
      </c>
      <c r="H294" s="260">
        <f>('Pivot Table for Data Exchange'!$L$238)*100</f>
        <v>0</v>
      </c>
      <c r="I294" s="231"/>
      <c r="J294" s="299"/>
      <c r="K294" s="299"/>
      <c r="L294" s="299"/>
      <c r="M294" s="299"/>
      <c r="N294" s="299"/>
      <c r="O294" s="299"/>
      <c r="P294" s="299"/>
      <c r="Q294" s="265">
        <f t="shared" si="39"/>
        <v>100</v>
      </c>
      <c r="R294" s="265"/>
      <c r="S294" s="314"/>
      <c r="T294" s="318"/>
      <c r="U294" s="314"/>
      <c r="V294" s="314"/>
      <c r="W294" s="314"/>
      <c r="X294" s="314"/>
      <c r="Y294" s="314"/>
      <c r="Z294" s="314"/>
      <c r="AA294" s="314"/>
      <c r="AB294" s="314"/>
      <c r="AC294" s="314"/>
      <c r="AD294" s="314"/>
      <c r="AE294" s="314"/>
      <c r="AF294" s="314"/>
      <c r="AG294" s="314"/>
      <c r="AH294" s="314"/>
      <c r="AI294" s="314"/>
      <c r="AJ294" s="314"/>
      <c r="AK294" s="314"/>
      <c r="AL294" s="314"/>
      <c r="AM294" s="314"/>
      <c r="AN294" s="314"/>
      <c r="AO294" s="314"/>
    </row>
    <row r="295" spans="1:41" ht="15.75" customHeight="1">
      <c r="A295" s="231" t="s">
        <v>673</v>
      </c>
      <c r="B295" s="260">
        <f>('Pivot Table for Data Exchange'!$L$259)*100</f>
        <v>63.504526077580948</v>
      </c>
      <c r="C295" s="260">
        <f>('Pivot Table for Data Exchange'!$L$262)*100</f>
        <v>18.556019731633313</v>
      </c>
      <c r="D295" s="261">
        <f>SUM(E295:G295)</f>
        <v>17.939454190785749</v>
      </c>
      <c r="E295" s="260">
        <f>('Pivot Table for Data Exchange'!$L$265)*100</f>
        <v>17.923576111104804</v>
      </c>
      <c r="F295" s="272">
        <f>('Pivot Table for Data Exchange'!$L$268)*100</f>
        <v>1.5878079680944741E-2</v>
      </c>
      <c r="G295" s="267">
        <f>('Pivot Table for Data Exchange'!$L$271)*100</f>
        <v>0</v>
      </c>
      <c r="H295" s="260">
        <f>('Pivot Table for Data Exchange'!$L$274)*100</f>
        <v>0</v>
      </c>
      <c r="I295" s="231"/>
      <c r="J295" s="299"/>
      <c r="K295" s="299"/>
      <c r="L295" s="299"/>
      <c r="M295" s="299"/>
      <c r="N295" s="299"/>
      <c r="O295" s="299"/>
      <c r="P295" s="299"/>
      <c r="Q295" s="265">
        <f t="shared" si="39"/>
        <v>100.00000000000001</v>
      </c>
      <c r="R295" s="265"/>
      <c r="S295" s="314"/>
      <c r="U295" s="314"/>
      <c r="V295" s="314"/>
      <c r="W295" s="314"/>
      <c r="X295" s="314"/>
      <c r="Y295" s="314"/>
      <c r="Z295" s="314"/>
      <c r="AA295" s="314"/>
      <c r="AB295" s="314"/>
      <c r="AC295" s="314"/>
      <c r="AD295" s="314"/>
      <c r="AE295" s="314"/>
      <c r="AF295" s="314"/>
      <c r="AG295" s="314"/>
      <c r="AH295" s="314"/>
      <c r="AI295" s="314"/>
      <c r="AJ295" s="314"/>
      <c r="AK295" s="314"/>
      <c r="AL295" s="314"/>
      <c r="AM295" s="314"/>
      <c r="AN295" s="314"/>
      <c r="AO295" s="314"/>
    </row>
    <row r="296" spans="1:41" ht="9.75" customHeight="1">
      <c r="B296" s="260"/>
      <c r="C296" s="260"/>
      <c r="D296" s="261"/>
      <c r="E296" s="260"/>
      <c r="F296" s="260"/>
      <c r="G296" s="268"/>
      <c r="H296" s="260"/>
      <c r="I296" s="231"/>
      <c r="J296" s="299"/>
      <c r="K296" s="299"/>
      <c r="L296" s="299"/>
      <c r="M296" s="299"/>
      <c r="N296" s="299"/>
      <c r="O296" s="299"/>
      <c r="P296" s="299"/>
      <c r="Q296" s="265">
        <f t="shared" si="39"/>
        <v>0</v>
      </c>
      <c r="R296" s="265"/>
      <c r="S296" s="314"/>
      <c r="U296" s="314"/>
      <c r="V296" s="314"/>
      <c r="W296" s="314"/>
      <c r="X296" s="314"/>
      <c r="Y296" s="314"/>
      <c r="Z296" s="314"/>
      <c r="AA296" s="314"/>
      <c r="AB296" s="314"/>
      <c r="AC296" s="314"/>
      <c r="AD296" s="314"/>
      <c r="AE296" s="314"/>
      <c r="AF296" s="314"/>
      <c r="AG296" s="314"/>
      <c r="AH296" s="314"/>
      <c r="AI296" s="314"/>
      <c r="AJ296" s="314"/>
      <c r="AK296" s="314"/>
      <c r="AL296" s="314"/>
      <c r="AM296" s="314"/>
      <c r="AN296" s="314"/>
      <c r="AO296" s="314"/>
    </row>
    <row r="297" spans="1:41" ht="15.75" customHeight="1">
      <c r="A297" s="231" t="s">
        <v>720</v>
      </c>
      <c r="B297" s="260">
        <f>('Pivot Table for Data Exchange'!$L$295)*100</f>
        <v>94.426664215501944</v>
      </c>
      <c r="C297" s="260">
        <f>('Pivot Table for Data Exchange'!$L$298)*100</f>
        <v>5.5733357844980542</v>
      </c>
      <c r="D297" s="261">
        <f>SUM(E297:G297)</f>
        <v>0</v>
      </c>
      <c r="E297" s="260">
        <f>('Pivot Table for Data Exchange'!$L$301)*100</f>
        <v>0</v>
      </c>
      <c r="F297" s="260">
        <f>('Pivot Table for Data Exchange'!$L$304)*100</f>
        <v>0</v>
      </c>
      <c r="G297" s="268">
        <f>('Pivot Table for Data Exchange'!$L$307)*100</f>
        <v>0</v>
      </c>
      <c r="H297" s="260">
        <f>('Pivot Table for Data Exchange'!$L$310)*100</f>
        <v>0</v>
      </c>
      <c r="I297" s="306"/>
      <c r="J297" s="299"/>
      <c r="K297" s="299"/>
      <c r="L297" s="299"/>
      <c r="M297" s="299"/>
      <c r="N297" s="299"/>
      <c r="O297" s="299"/>
      <c r="P297" s="299"/>
      <c r="Q297" s="265">
        <f t="shared" si="39"/>
        <v>100</v>
      </c>
      <c r="R297" s="265"/>
      <c r="S297" s="314"/>
      <c r="T297" s="314"/>
      <c r="U297" s="314"/>
      <c r="V297" s="314"/>
      <c r="W297" s="314"/>
      <c r="X297" s="314"/>
      <c r="Y297" s="314"/>
      <c r="Z297" s="314"/>
      <c r="AA297" s="314"/>
      <c r="AB297" s="314"/>
      <c r="AC297" s="314"/>
      <c r="AD297" s="314"/>
      <c r="AE297" s="314"/>
      <c r="AF297" s="314"/>
      <c r="AG297" s="314"/>
      <c r="AH297" s="314"/>
      <c r="AI297" s="314"/>
      <c r="AJ297" s="314"/>
      <c r="AK297" s="314"/>
      <c r="AL297" s="314"/>
      <c r="AM297" s="314"/>
      <c r="AN297" s="314"/>
      <c r="AO297" s="314"/>
    </row>
    <row r="298" spans="1:41" ht="15.75" customHeight="1">
      <c r="A298" s="231" t="s">
        <v>675</v>
      </c>
      <c r="B298" s="260">
        <f>('Pivot Table for Data Exchange'!$L$331)*100</f>
        <v>53.36019257184148</v>
      </c>
      <c r="C298" s="260">
        <f>('Pivot Table for Data Exchange'!$L$334)*100</f>
        <v>2.7691838419148307</v>
      </c>
      <c r="D298" s="261">
        <f>SUM(E298:G298)</f>
        <v>43.870623586243688</v>
      </c>
      <c r="E298" s="260">
        <f>('Pivot Table for Data Exchange'!$L$337)*100</f>
        <v>43.848924278218441</v>
      </c>
      <c r="F298" s="272">
        <f>('Pivot Table for Data Exchange'!$L$340)*100</f>
        <v>2.1699308025246385E-2</v>
      </c>
      <c r="G298" s="268">
        <f>('Pivot Table for Data Exchange'!$L$343)*100</f>
        <v>0</v>
      </c>
      <c r="H298" s="260">
        <f>('Pivot Table for Data Exchange'!$L$346)*100</f>
        <v>0</v>
      </c>
      <c r="I298" s="231"/>
      <c r="J298" s="299"/>
      <c r="K298" s="299"/>
      <c r="L298" s="299"/>
      <c r="M298" s="299"/>
      <c r="N298" s="299"/>
      <c r="O298" s="299"/>
      <c r="P298" s="299"/>
      <c r="Q298" s="265">
        <f t="shared" si="39"/>
        <v>100</v>
      </c>
      <c r="R298" s="265"/>
      <c r="S298" s="314"/>
      <c r="T298" s="314"/>
      <c r="U298" s="314"/>
      <c r="V298" s="314"/>
      <c r="W298" s="314"/>
      <c r="X298" s="314"/>
      <c r="Y298" s="314"/>
      <c r="Z298" s="314"/>
      <c r="AA298" s="314"/>
      <c r="AB298" s="314"/>
      <c r="AC298" s="314"/>
      <c r="AD298" s="314"/>
      <c r="AE298" s="314"/>
      <c r="AF298" s="314"/>
      <c r="AG298" s="314"/>
      <c r="AH298" s="314"/>
      <c r="AI298" s="314"/>
      <c r="AJ298" s="314"/>
      <c r="AK298" s="314"/>
      <c r="AL298" s="314"/>
      <c r="AM298" s="314"/>
      <c r="AN298" s="314"/>
      <c r="AO298" s="314"/>
    </row>
    <row r="299" spans="1:41" ht="15.75" customHeight="1">
      <c r="A299" s="231" t="s">
        <v>676</v>
      </c>
      <c r="B299" s="260">
        <f>('Pivot Table for Data Exchange'!$L$367)*100</f>
        <v>69.223439091204853</v>
      </c>
      <c r="C299" s="260">
        <f>('Pivot Table for Data Exchange'!$L$370)*100</f>
        <v>4.3901612645512529</v>
      </c>
      <c r="D299" s="261">
        <f>SUM(E299:G299)</f>
        <v>26.386399644243891</v>
      </c>
      <c r="E299" s="260">
        <f>('Pivot Table for Data Exchange'!$L$373)*100</f>
        <v>25.744190568227975</v>
      </c>
      <c r="F299" s="260">
        <f>('Pivot Table for Data Exchange'!$L$376)*100</f>
        <v>0</v>
      </c>
      <c r="G299" s="268">
        <f>('Pivot Table for Data Exchange'!$L$379)*100</f>
        <v>0.6422090760159167</v>
      </c>
      <c r="H299" s="272">
        <f>('Pivot Table for Data Exchange'!$L$382)*100</f>
        <v>0</v>
      </c>
      <c r="I299" s="231"/>
      <c r="J299" s="299"/>
      <c r="K299" s="299"/>
      <c r="L299" s="299"/>
      <c r="M299" s="299"/>
      <c r="N299" s="299"/>
      <c r="O299" s="299"/>
      <c r="P299" s="299"/>
      <c r="Q299" s="265">
        <f t="shared" si="39"/>
        <v>100</v>
      </c>
      <c r="R299" s="265"/>
      <c r="S299" s="314"/>
      <c r="T299" s="318"/>
      <c r="U299" s="314"/>
      <c r="V299" s="314"/>
      <c r="W299" s="314"/>
      <c r="X299" s="314"/>
      <c r="Y299" s="314"/>
      <c r="Z299" s="314"/>
      <c r="AA299" s="314"/>
      <c r="AB299" s="314"/>
      <c r="AC299" s="314"/>
      <c r="AD299" s="314"/>
      <c r="AE299" s="314"/>
      <c r="AF299" s="314"/>
      <c r="AG299" s="314"/>
      <c r="AH299" s="314"/>
      <c r="AI299" s="314"/>
      <c r="AJ299" s="314"/>
      <c r="AK299" s="314"/>
      <c r="AL299" s="314"/>
      <c r="AM299" s="314"/>
      <c r="AN299" s="314"/>
      <c r="AO299" s="314"/>
    </row>
    <row r="300" spans="1:41" ht="15.75" customHeight="1">
      <c r="A300" s="231" t="s">
        <v>677</v>
      </c>
      <c r="B300" s="260">
        <f>('Pivot Table for Data Exchange'!$L$403)*100</f>
        <v>55.189656037202731</v>
      </c>
      <c r="C300" s="260">
        <f>('Pivot Table for Data Exchange'!$L$406)*100</f>
        <v>7.1948915517616117</v>
      </c>
      <c r="D300" s="261">
        <f>SUM(E300:G300)</f>
        <v>37.615452411035662</v>
      </c>
      <c r="E300" s="260">
        <f>('Pivot Table for Data Exchange'!$L$409)*100</f>
        <v>37.615452411035662</v>
      </c>
      <c r="F300" s="260">
        <f>('Pivot Table for Data Exchange'!$L$412)*100</f>
        <v>0</v>
      </c>
      <c r="G300" s="268">
        <f>('Pivot Table for Data Exchange'!$L$415)*100</f>
        <v>0</v>
      </c>
      <c r="H300" s="260">
        <f>('Pivot Table for Data Exchange'!$L$418)*100</f>
        <v>0</v>
      </c>
      <c r="I300" s="231"/>
      <c r="J300" s="299"/>
      <c r="K300" s="299"/>
      <c r="L300" s="299"/>
      <c r="M300" s="299"/>
      <c r="N300" s="299"/>
      <c r="O300" s="299"/>
      <c r="P300" s="299"/>
      <c r="Q300" s="265">
        <f t="shared" si="39"/>
        <v>100</v>
      </c>
      <c r="R300" s="265"/>
      <c r="S300" s="314"/>
      <c r="T300" s="314"/>
      <c r="U300" s="314"/>
      <c r="V300" s="314"/>
      <c r="W300" s="314"/>
      <c r="X300" s="314"/>
      <c r="Y300" s="314"/>
      <c r="Z300" s="314"/>
      <c r="AA300" s="314"/>
      <c r="AB300" s="314"/>
      <c r="AC300" s="314"/>
      <c r="AD300" s="314"/>
      <c r="AE300" s="314"/>
      <c r="AF300" s="314"/>
      <c r="AG300" s="314"/>
      <c r="AH300" s="314"/>
      <c r="AI300" s="314"/>
      <c r="AJ300" s="314"/>
      <c r="AK300" s="314"/>
      <c r="AL300" s="314"/>
      <c r="AM300" s="314"/>
      <c r="AN300" s="314"/>
      <c r="AO300" s="314"/>
    </row>
    <row r="301" spans="1:41" ht="11.25" customHeight="1">
      <c r="B301" s="260"/>
      <c r="C301" s="260"/>
      <c r="D301" s="261"/>
      <c r="E301" s="260"/>
      <c r="F301" s="260"/>
      <c r="G301" s="268"/>
      <c r="H301" s="260"/>
      <c r="I301" s="231"/>
      <c r="J301" s="299"/>
      <c r="K301" s="299"/>
      <c r="L301" s="299"/>
      <c r="M301" s="299"/>
      <c r="N301" s="299"/>
      <c r="O301" s="299"/>
      <c r="P301" s="299"/>
      <c r="Q301" s="265">
        <f t="shared" si="39"/>
        <v>0</v>
      </c>
      <c r="R301" s="265"/>
      <c r="S301" s="314"/>
      <c r="T301" s="314"/>
      <c r="U301" s="314"/>
      <c r="V301" s="314"/>
      <c r="W301" s="314"/>
      <c r="X301" s="314"/>
      <c r="Y301" s="314"/>
      <c r="Z301" s="314"/>
      <c r="AA301" s="314"/>
      <c r="AB301" s="314"/>
      <c r="AC301" s="314"/>
      <c r="AD301" s="314"/>
      <c r="AE301" s="314"/>
      <c r="AF301" s="314"/>
      <c r="AG301" s="314"/>
      <c r="AH301" s="314"/>
      <c r="AI301" s="314"/>
      <c r="AJ301" s="314"/>
      <c r="AK301" s="314"/>
      <c r="AL301" s="314"/>
      <c r="AM301" s="314"/>
      <c r="AN301" s="314"/>
      <c r="AO301" s="314"/>
    </row>
    <row r="302" spans="1:41" ht="15.75" customHeight="1">
      <c r="A302" s="231" t="s">
        <v>678</v>
      </c>
      <c r="B302" s="260">
        <f>('Pivot Table for Data Exchange'!$L$439)*100</f>
        <v>39.195314849067437</v>
      </c>
      <c r="C302" s="260">
        <f>('Pivot Table for Data Exchange'!$L$442)*100</f>
        <v>30.998920283186486</v>
      </c>
      <c r="D302" s="261">
        <f>SUM(E302:G302)</f>
        <v>29.667383440697577</v>
      </c>
      <c r="E302" s="260">
        <f>('Pivot Table for Data Exchange'!$L$445)*100</f>
        <v>24.871641260671883</v>
      </c>
      <c r="F302" s="260">
        <f>('Pivot Table for Data Exchange'!$L$448)*100</f>
        <v>3.47377244854261E-2</v>
      </c>
      <c r="G302" s="268">
        <f>('Pivot Table for Data Exchange'!$L$451)*100</f>
        <v>4.7610044555402684</v>
      </c>
      <c r="H302" s="260">
        <f>('Pivot Table for Data Exchange'!$L$454)*100</f>
        <v>0.1383814270485007</v>
      </c>
      <c r="I302" s="231"/>
      <c r="J302" s="299"/>
      <c r="K302" s="299"/>
      <c r="L302" s="299"/>
      <c r="M302" s="299"/>
      <c r="N302" s="299"/>
      <c r="O302" s="299"/>
      <c r="P302" s="299"/>
      <c r="Q302" s="265">
        <f t="shared" si="39"/>
        <v>100</v>
      </c>
      <c r="R302" s="265"/>
      <c r="S302" s="314"/>
      <c r="T302" s="314"/>
      <c r="U302" s="314"/>
      <c r="V302" s="314"/>
      <c r="W302" s="314"/>
      <c r="X302" s="314"/>
      <c r="Y302" s="314"/>
      <c r="Z302" s="314"/>
      <c r="AA302" s="314"/>
      <c r="AB302" s="314"/>
      <c r="AC302" s="314"/>
      <c r="AD302" s="314"/>
      <c r="AE302" s="314"/>
      <c r="AF302" s="314"/>
      <c r="AG302" s="314"/>
      <c r="AH302" s="314"/>
      <c r="AI302" s="314"/>
      <c r="AJ302" s="314"/>
      <c r="AK302" s="314"/>
      <c r="AL302" s="314"/>
      <c r="AM302" s="314"/>
      <c r="AN302" s="314"/>
      <c r="AO302" s="314"/>
    </row>
    <row r="303" spans="1:41" ht="15.75" customHeight="1">
      <c r="A303" s="231" t="s">
        <v>679</v>
      </c>
      <c r="B303" s="260">
        <f>('Pivot Table for Data Exchange'!$L$475)*100</f>
        <v>0</v>
      </c>
      <c r="C303" s="260">
        <f>('Pivot Table for Data Exchange'!$L$478)*100</f>
        <v>0</v>
      </c>
      <c r="D303" s="261">
        <f>SUM(E303:G303)</f>
        <v>0</v>
      </c>
      <c r="E303" s="260">
        <f>('Pivot Table for Data Exchange'!$L$481)*100</f>
        <v>0</v>
      </c>
      <c r="F303" s="260">
        <f>('Pivot Table for Data Exchange'!$L$484)*100</f>
        <v>0</v>
      </c>
      <c r="G303" s="268">
        <f>('Pivot Table for Data Exchange'!$L$487)*100</f>
        <v>0</v>
      </c>
      <c r="H303" s="260">
        <f>('Pivot Table for Data Exchange'!$L$490)*100</f>
        <v>0</v>
      </c>
      <c r="I303" s="231"/>
      <c r="J303" s="299"/>
      <c r="K303" s="299"/>
      <c r="L303" s="299"/>
      <c r="M303" s="299"/>
      <c r="N303" s="299"/>
      <c r="O303" s="299"/>
      <c r="P303" s="299"/>
      <c r="Q303" s="265">
        <f t="shared" si="39"/>
        <v>0</v>
      </c>
      <c r="R303" s="265"/>
      <c r="S303" s="314"/>
      <c r="T303" s="314"/>
      <c r="U303" s="314"/>
      <c r="V303" s="314"/>
      <c r="W303" s="314"/>
      <c r="X303" s="314"/>
      <c r="Y303" s="314"/>
      <c r="Z303" s="314"/>
      <c r="AA303" s="314"/>
      <c r="AB303" s="314"/>
      <c r="AC303" s="314"/>
      <c r="AD303" s="314"/>
      <c r="AE303" s="314"/>
      <c r="AF303" s="314"/>
      <c r="AG303" s="314"/>
      <c r="AH303" s="314"/>
      <c r="AI303" s="314"/>
      <c r="AJ303" s="314"/>
      <c r="AK303" s="314"/>
      <c r="AL303" s="314"/>
      <c r="AM303" s="314"/>
      <c r="AN303" s="314"/>
      <c r="AO303" s="314"/>
    </row>
    <row r="304" spans="1:41" ht="15.75" customHeight="1">
      <c r="A304" s="231" t="s">
        <v>680</v>
      </c>
      <c r="B304" s="260">
        <f>('Pivot Table for Data Exchange'!$L$511)*100</f>
        <v>60.373504971842621</v>
      </c>
      <c r="C304" s="260">
        <f>('Pivot Table for Data Exchange'!$L$514)*100</f>
        <v>11.204270009764009</v>
      </c>
      <c r="D304" s="261">
        <f>SUM(E304:G304)</f>
        <v>28.422225018393373</v>
      </c>
      <c r="E304" s="260">
        <f>('Pivot Table for Data Exchange'!$L$517)*100</f>
        <v>28.387553717164604</v>
      </c>
      <c r="F304" s="260">
        <f>('Pivot Table for Data Exchange'!$L$520)*100</f>
        <v>3.4671301228770691E-2</v>
      </c>
      <c r="G304" s="268">
        <f>('Pivot Table for Data Exchange'!$L$523)*100</f>
        <v>0</v>
      </c>
      <c r="H304" s="260">
        <f>('Pivot Table for Data Exchange'!$L$526)*100</f>
        <v>0</v>
      </c>
      <c r="I304" s="231"/>
      <c r="J304" s="299"/>
      <c r="K304" s="299"/>
      <c r="L304" s="299"/>
      <c r="M304" s="299"/>
      <c r="N304" s="299"/>
      <c r="O304" s="299"/>
      <c r="P304" s="299"/>
      <c r="Q304" s="265">
        <f t="shared" si="39"/>
        <v>100.00000000000001</v>
      </c>
      <c r="R304" s="265"/>
      <c r="S304" s="314"/>
      <c r="T304" s="314"/>
      <c r="U304" s="314"/>
      <c r="V304" s="314"/>
      <c r="W304" s="314"/>
      <c r="X304" s="314"/>
      <c r="Y304" s="314"/>
      <c r="Z304" s="314"/>
      <c r="AA304" s="314"/>
      <c r="AB304" s="314"/>
      <c r="AC304" s="314"/>
      <c r="AD304" s="314"/>
      <c r="AE304" s="314"/>
      <c r="AF304" s="314"/>
      <c r="AG304" s="314"/>
      <c r="AH304" s="314"/>
      <c r="AI304" s="314"/>
      <c r="AJ304" s="314"/>
      <c r="AK304" s="314"/>
      <c r="AL304" s="314"/>
      <c r="AM304" s="314"/>
      <c r="AN304" s="314"/>
      <c r="AO304" s="314"/>
    </row>
    <row r="305" spans="1:41" ht="15.75" customHeight="1">
      <c r="A305" s="237" t="s">
        <v>681</v>
      </c>
      <c r="B305" s="273">
        <f>('Pivot Table for Data Exchange'!$L$547)*100</f>
        <v>0</v>
      </c>
      <c r="C305" s="273">
        <f>('Pivot Table for Data Exchange'!$L$550)*100</f>
        <v>0</v>
      </c>
      <c r="D305" s="274">
        <f>SUM(E305:G305)</f>
        <v>0</v>
      </c>
      <c r="E305" s="273">
        <f>('Pivot Table for Data Exchange'!$L$553)*100</f>
        <v>0</v>
      </c>
      <c r="F305" s="273">
        <f>('Pivot Table for Data Exchange'!$L$556)*100</f>
        <v>0</v>
      </c>
      <c r="G305" s="275">
        <f>('Pivot Table for Data Exchange'!$L$559)*100</f>
        <v>0</v>
      </c>
      <c r="H305" s="273">
        <f>('Pivot Table for Data Exchange'!$L$562)*100</f>
        <v>0</v>
      </c>
      <c r="I305" s="231"/>
      <c r="J305" s="299"/>
      <c r="K305" s="299"/>
      <c r="L305" s="299"/>
      <c r="M305" s="299"/>
      <c r="N305" s="299"/>
      <c r="O305" s="299"/>
      <c r="P305" s="299"/>
      <c r="Q305" s="265">
        <f t="shared" si="39"/>
        <v>0</v>
      </c>
      <c r="R305" s="265"/>
      <c r="S305" s="314"/>
      <c r="T305" s="314"/>
      <c r="U305" s="314"/>
      <c r="V305" s="314"/>
      <c r="W305" s="314"/>
      <c r="X305" s="314"/>
      <c r="Y305" s="314"/>
      <c r="Z305" s="314"/>
      <c r="AA305" s="314"/>
      <c r="AB305" s="314"/>
      <c r="AC305" s="314"/>
      <c r="AD305" s="314"/>
      <c r="AE305" s="314"/>
      <c r="AF305" s="314"/>
      <c r="AG305" s="314"/>
      <c r="AH305" s="314"/>
      <c r="AI305" s="314"/>
      <c r="AJ305" s="314"/>
      <c r="AK305" s="314"/>
      <c r="AL305" s="314"/>
      <c r="AM305" s="314"/>
      <c r="AN305" s="314"/>
      <c r="AO305" s="314"/>
    </row>
    <row r="306" spans="1:41" s="304" customFormat="1" ht="13.5" customHeight="1">
      <c r="A306" s="279" t="s">
        <v>706</v>
      </c>
      <c r="B306" s="280"/>
      <c r="C306" s="280"/>
      <c r="D306" s="281"/>
      <c r="E306" s="280"/>
      <c r="F306" s="281"/>
      <c r="G306" s="281"/>
      <c r="H306" s="280"/>
      <c r="I306" s="289"/>
      <c r="J306" s="280"/>
      <c r="K306" s="280"/>
      <c r="L306" s="281"/>
      <c r="M306" s="280"/>
      <c r="N306" s="281"/>
      <c r="O306" s="281"/>
      <c r="P306" s="280"/>
      <c r="Q306" s="265">
        <f t="shared" si="39"/>
        <v>0</v>
      </c>
      <c r="R306" s="300"/>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317"/>
      <c r="AO306" s="317"/>
    </row>
    <row r="307" spans="1:41" s="304" customFormat="1" ht="24" customHeight="1">
      <c r="A307" s="490" t="s">
        <v>721</v>
      </c>
      <c r="B307" s="491"/>
      <c r="C307" s="491"/>
      <c r="D307" s="491"/>
      <c r="E307" s="491"/>
      <c r="F307" s="491"/>
      <c r="G307" s="491"/>
      <c r="H307" s="491"/>
      <c r="I307" s="289"/>
      <c r="J307" s="278"/>
      <c r="K307" s="278"/>
      <c r="L307" s="278"/>
      <c r="M307" s="278"/>
      <c r="N307" s="278"/>
      <c r="O307" s="278"/>
      <c r="P307" s="291"/>
      <c r="Q307" s="265">
        <f t="shared" si="39"/>
        <v>0</v>
      </c>
      <c r="R307" s="301"/>
    </row>
    <row r="308" spans="1:41" s="304" customFormat="1" ht="13.5" customHeight="1">
      <c r="A308" s="289"/>
      <c r="B308" s="278"/>
      <c r="C308" s="278"/>
      <c r="D308" s="278"/>
      <c r="E308" s="278"/>
      <c r="F308" s="278"/>
      <c r="G308" s="278"/>
      <c r="H308" s="278"/>
      <c r="I308" s="289"/>
      <c r="J308" s="278"/>
      <c r="K308" s="278"/>
      <c r="L308" s="278"/>
      <c r="M308" s="278"/>
      <c r="N308" s="278"/>
      <c r="O308" s="278"/>
      <c r="P308" s="278"/>
      <c r="Q308" s="265">
        <f t="shared" si="39"/>
        <v>0</v>
      </c>
      <c r="R308" s="301"/>
    </row>
    <row r="309" spans="1:41" s="304" customFormat="1">
      <c r="A309" s="278"/>
      <c r="B309" s="278"/>
      <c r="C309" s="278"/>
      <c r="D309" s="278"/>
      <c r="E309" s="278"/>
      <c r="F309" s="278"/>
      <c r="G309" s="278"/>
      <c r="H309" s="284" t="s">
        <v>839</v>
      </c>
      <c r="I309" s="305"/>
      <c r="J309" s="278"/>
      <c r="K309" s="278"/>
      <c r="L309" s="278"/>
      <c r="M309" s="278"/>
      <c r="N309" s="278"/>
      <c r="O309" s="278"/>
      <c r="P309" s="278"/>
      <c r="Q309" s="265">
        <f t="shared" si="39"/>
        <v>0</v>
      </c>
      <c r="R309" s="301"/>
    </row>
    <row r="310" spans="1:41" ht="18">
      <c r="A310" s="226" t="s">
        <v>725</v>
      </c>
      <c r="B310" s="227"/>
      <c r="C310" s="227"/>
      <c r="D310" s="227"/>
      <c r="E310" s="227"/>
      <c r="F310" s="227"/>
      <c r="G310" s="227"/>
      <c r="H310" s="227"/>
      <c r="Q310" s="265">
        <f t="shared" si="39"/>
        <v>0</v>
      </c>
    </row>
    <row r="311" spans="1:41" ht="13">
      <c r="A311" s="232"/>
      <c r="B311" s="228"/>
      <c r="C311" s="228"/>
      <c r="D311" s="228"/>
      <c r="E311" s="228"/>
      <c r="F311" s="228"/>
      <c r="G311" s="228"/>
      <c r="H311" s="228"/>
      <c r="Q311" s="265">
        <f t="shared" si="39"/>
        <v>0</v>
      </c>
    </row>
    <row r="312" spans="1:41" ht="15.5">
      <c r="A312" s="234" t="s">
        <v>687</v>
      </c>
      <c r="B312" s="228"/>
      <c r="C312" s="228"/>
      <c r="D312" s="228"/>
      <c r="E312" s="228"/>
      <c r="F312" s="228"/>
      <c r="G312" s="228"/>
      <c r="H312" s="228"/>
      <c r="Q312" s="265">
        <f t="shared" si="39"/>
        <v>0</v>
      </c>
    </row>
    <row r="313" spans="1:41" ht="15.5">
      <c r="A313" s="234" t="s">
        <v>834</v>
      </c>
      <c r="B313" s="228"/>
      <c r="C313" s="228"/>
      <c r="D313" s="228"/>
      <c r="E313" s="228"/>
      <c r="F313" s="228"/>
      <c r="G313" s="228"/>
      <c r="H313" s="228"/>
      <c r="Q313" s="265">
        <f t="shared" si="39"/>
        <v>0</v>
      </c>
    </row>
    <row r="314" spans="1:41">
      <c r="A314" s="237"/>
      <c r="B314" s="238"/>
      <c r="C314" s="238"/>
      <c r="D314" s="238"/>
      <c r="E314" s="238"/>
      <c r="F314" s="238"/>
      <c r="G314" s="238"/>
      <c r="H314" s="238"/>
      <c r="Q314" s="265">
        <f t="shared" si="39"/>
        <v>0</v>
      </c>
    </row>
    <row r="315" spans="1:41">
      <c r="A315" s="242"/>
      <c r="B315" s="243" t="s">
        <v>689</v>
      </c>
      <c r="C315" s="243"/>
      <c r="D315" s="243"/>
      <c r="E315" s="243"/>
      <c r="F315" s="243"/>
      <c r="G315" s="243"/>
      <c r="H315" s="244"/>
      <c r="Q315" s="265">
        <f t="shared" si="39"/>
        <v>0</v>
      </c>
    </row>
    <row r="316" spans="1:41">
      <c r="A316" s="242"/>
      <c r="B316" s="243" t="s">
        <v>690</v>
      </c>
      <c r="C316" s="243"/>
      <c r="D316" s="485" t="s">
        <v>691</v>
      </c>
      <c r="E316" s="483"/>
      <c r="F316" s="483"/>
      <c r="G316" s="483"/>
      <c r="H316" s="250" t="s">
        <v>581</v>
      </c>
      <c r="Q316" s="265">
        <f t="shared" si="39"/>
        <v>0</v>
      </c>
    </row>
    <row r="317" spans="1:41" ht="34.5">
      <c r="A317" s="242"/>
      <c r="B317" s="251" t="s">
        <v>692</v>
      </c>
      <c r="C317" s="252" t="s">
        <v>693</v>
      </c>
      <c r="D317" s="253" t="s">
        <v>694</v>
      </c>
      <c r="E317" s="254" t="s">
        <v>8</v>
      </c>
      <c r="F317" s="251" t="s">
        <v>695</v>
      </c>
      <c r="G317" s="255" t="s">
        <v>704</v>
      </c>
      <c r="H317" s="256" t="s">
        <v>697</v>
      </c>
      <c r="Q317" s="265">
        <f t="shared" si="39"/>
        <v>0</v>
      </c>
    </row>
    <row r="318" spans="1:41" ht="15.75" customHeight="1">
      <c r="A318" s="286" t="s">
        <v>666</v>
      </c>
      <c r="B318" s="313">
        <f>('Pivot Table for Data Exchange'!$M$7)*100</f>
        <v>58.737894576231632</v>
      </c>
      <c r="C318" s="260">
        <f>('Pivot Table for Data Exchange'!$M$10)*100</f>
        <v>14.071860168954867</v>
      </c>
      <c r="D318" s="261">
        <f>SUM(E318:G318)</f>
        <v>27.190245254813497</v>
      </c>
      <c r="E318" s="260">
        <f>('Pivot Table for Data Exchange'!$M$13)*100</f>
        <v>26.013085974312716</v>
      </c>
      <c r="F318" s="260">
        <f>('Pivot Table for Data Exchange'!$M$16)*100</f>
        <v>0.34844074263552444</v>
      </c>
      <c r="G318" s="264">
        <f>('Pivot Table for Data Exchange'!$M$19)*100</f>
        <v>0.82871853786525707</v>
      </c>
      <c r="H318" s="260">
        <f>('Pivot Table for Data Exchange'!$M$22)*100</f>
        <v>0</v>
      </c>
      <c r="I318" s="231"/>
      <c r="J318" s="299"/>
      <c r="K318" s="299"/>
      <c r="L318" s="299"/>
      <c r="M318" s="299"/>
      <c r="N318" s="299"/>
      <c r="O318" s="299"/>
      <c r="P318" s="299"/>
      <c r="Q318" s="265">
        <f t="shared" si="39"/>
        <v>100</v>
      </c>
      <c r="R318" s="265"/>
      <c r="S318" s="314"/>
      <c r="T318" s="314"/>
      <c r="U318" s="314"/>
      <c r="V318" s="314"/>
      <c r="W318" s="314"/>
      <c r="X318" s="314"/>
      <c r="Y318" s="314"/>
      <c r="Z318" s="314"/>
      <c r="AA318" s="314"/>
      <c r="AB318" s="314"/>
      <c r="AC318" s="314"/>
      <c r="AD318" s="314"/>
      <c r="AE318" s="314"/>
      <c r="AF318" s="314"/>
      <c r="AG318" s="314"/>
      <c r="AH318" s="314"/>
      <c r="AI318" s="314"/>
      <c r="AJ318" s="314"/>
      <c r="AK318" s="314"/>
      <c r="AL318" s="314"/>
      <c r="AM318" s="314"/>
      <c r="AN318" s="314"/>
      <c r="AO318" s="314"/>
    </row>
    <row r="319" spans="1:41" ht="15.75" customHeight="1">
      <c r="A319" s="231" t="s">
        <v>667</v>
      </c>
      <c r="B319" s="260">
        <f>('Pivot Table for Data Exchange'!$M$43)*100</f>
        <v>62.367354350136452</v>
      </c>
      <c r="C319" s="260">
        <f>('Pivot Table for Data Exchange'!$M$46)*100</f>
        <v>6.0914193551832607</v>
      </c>
      <c r="D319" s="261">
        <f t="shared" ref="D319:D321" si="42">SUM(E319:G319)</f>
        <v>31.541226294680289</v>
      </c>
      <c r="E319" s="260">
        <f>('Pivot Table for Data Exchange'!$M$49)*100</f>
        <v>31.467526849562343</v>
      </c>
      <c r="F319" s="260">
        <f>('Pivot Table for Data Exchange'!$M$52)*100</f>
        <v>7.3699445117945822E-2</v>
      </c>
      <c r="G319" s="268">
        <f>('Pivot Table for Data Exchange'!$M$55)*100</f>
        <v>0</v>
      </c>
      <c r="H319" s="260">
        <f>('Pivot Table for Data Exchange'!$M$58)*100</f>
        <v>0</v>
      </c>
      <c r="I319" s="231"/>
      <c r="J319" s="299"/>
      <c r="K319" s="299"/>
      <c r="L319" s="299"/>
      <c r="M319" s="299"/>
      <c r="N319" s="299"/>
      <c r="O319" s="299"/>
      <c r="P319" s="299"/>
      <c r="Q319" s="265">
        <f t="shared" si="39"/>
        <v>100</v>
      </c>
      <c r="R319" s="265"/>
      <c r="S319" s="314"/>
      <c r="T319" s="314"/>
      <c r="U319" s="314"/>
      <c r="V319" s="314"/>
      <c r="W319" s="314"/>
      <c r="X319" s="314"/>
      <c r="Y319" s="314"/>
      <c r="Z319" s="314"/>
      <c r="AA319" s="314"/>
      <c r="AB319" s="314"/>
      <c r="AC319" s="314"/>
      <c r="AD319" s="314"/>
      <c r="AE319" s="314"/>
      <c r="AF319" s="314"/>
      <c r="AG319" s="314"/>
      <c r="AH319" s="314"/>
      <c r="AI319" s="314"/>
      <c r="AJ319" s="314"/>
      <c r="AK319" s="314"/>
      <c r="AL319" s="314"/>
      <c r="AM319" s="314"/>
      <c r="AN319" s="314"/>
      <c r="AO319" s="314"/>
    </row>
    <row r="320" spans="1:41" ht="15.75" customHeight="1">
      <c r="A320" s="231" t="s">
        <v>668</v>
      </c>
      <c r="B320" s="260">
        <f>('Pivot Table for Data Exchange'!$M$79)*100</f>
        <v>78.871152136173095</v>
      </c>
      <c r="C320" s="260">
        <f>('Pivot Table for Data Exchange'!$M$82)*100</f>
        <v>0</v>
      </c>
      <c r="D320" s="261">
        <f t="shared" si="42"/>
        <v>21.128847863826905</v>
      </c>
      <c r="E320" s="260">
        <f>('Pivot Table for Data Exchange'!$M$85)*100</f>
        <v>20.61034616820703</v>
      </c>
      <c r="F320" s="260">
        <f>('Pivot Table for Data Exchange'!$M$88)*100</f>
        <v>0.33296508293332611</v>
      </c>
      <c r="G320" s="268">
        <f>('Pivot Table for Data Exchange'!$M$91)*100</f>
        <v>0.18553661268654706</v>
      </c>
      <c r="H320" s="260">
        <f>('Pivot Table for Data Exchange'!$M$94)*100</f>
        <v>0</v>
      </c>
      <c r="I320" s="231"/>
      <c r="J320" s="299"/>
      <c r="K320" s="299"/>
      <c r="L320" s="299"/>
      <c r="M320" s="299"/>
      <c r="N320" s="299"/>
      <c r="O320" s="299"/>
      <c r="P320" s="299"/>
      <c r="Q320" s="265">
        <f t="shared" si="39"/>
        <v>100</v>
      </c>
      <c r="R320" s="265"/>
      <c r="S320" s="314"/>
      <c r="T320" s="318"/>
      <c r="U320" s="314"/>
      <c r="V320" s="314"/>
      <c r="W320" s="314"/>
      <c r="X320" s="314"/>
      <c r="Y320" s="314"/>
      <c r="Z320" s="314"/>
      <c r="AA320" s="314"/>
      <c r="AB320" s="314"/>
      <c r="AC320" s="314"/>
      <c r="AD320" s="314"/>
      <c r="AE320" s="314"/>
      <c r="AF320" s="314"/>
      <c r="AG320" s="314"/>
      <c r="AH320" s="314"/>
      <c r="AI320" s="314"/>
      <c r="AJ320" s="314"/>
      <c r="AK320" s="314"/>
      <c r="AL320" s="314"/>
      <c r="AM320" s="314"/>
      <c r="AN320" s="314"/>
      <c r="AO320" s="314"/>
    </row>
    <row r="321" spans="1:41" ht="15.75" customHeight="1">
      <c r="A321" s="231" t="s">
        <v>705</v>
      </c>
      <c r="B321" s="260">
        <f>('Pivot Table for Data Exchange'!$M$115)*100</f>
        <v>0</v>
      </c>
      <c r="C321" s="260">
        <f>('Pivot Table for Data Exchange'!$M$118)*100</f>
        <v>0</v>
      </c>
      <c r="D321" s="261">
        <f t="shared" si="42"/>
        <v>0</v>
      </c>
      <c r="E321" s="260">
        <f>('Pivot Table for Data Exchange'!$M$121)*100</f>
        <v>0</v>
      </c>
      <c r="F321" s="260">
        <f>('Pivot Table for Data Exchange'!$M$124)*100</f>
        <v>0</v>
      </c>
      <c r="G321" s="267">
        <f>('Pivot Table for Data Exchange'!$M$127)*100</f>
        <v>0</v>
      </c>
      <c r="H321" s="260">
        <f>('Pivot Table for Data Exchange'!$M$130)*100</f>
        <v>0</v>
      </c>
      <c r="I321" s="231"/>
      <c r="J321" s="299"/>
      <c r="K321" s="299"/>
      <c r="L321" s="299"/>
      <c r="M321" s="299"/>
      <c r="N321" s="299"/>
      <c r="O321" s="299"/>
      <c r="P321" s="299"/>
      <c r="Q321" s="265">
        <f t="shared" si="39"/>
        <v>0</v>
      </c>
      <c r="R321" s="265"/>
      <c r="S321" s="314"/>
      <c r="U321" s="314"/>
      <c r="V321" s="314"/>
      <c r="W321" s="314"/>
      <c r="X321" s="314"/>
      <c r="Y321" s="314"/>
      <c r="Z321" s="314"/>
      <c r="AA321" s="314"/>
      <c r="AB321" s="314"/>
      <c r="AC321" s="314"/>
      <c r="AD321" s="314"/>
      <c r="AE321" s="314"/>
      <c r="AF321" s="314"/>
      <c r="AG321" s="314"/>
      <c r="AH321" s="314"/>
      <c r="AI321" s="314"/>
      <c r="AJ321" s="314"/>
      <c r="AK321" s="314"/>
      <c r="AL321" s="314"/>
      <c r="AM321" s="314"/>
      <c r="AN321" s="314"/>
      <c r="AO321" s="314"/>
    </row>
    <row r="322" spans="1:41" ht="15.75" customHeight="1">
      <c r="B322" s="260"/>
      <c r="C322" s="260"/>
      <c r="D322" s="261"/>
      <c r="E322" s="260"/>
      <c r="F322" s="260"/>
      <c r="G322" s="268"/>
      <c r="H322" s="260"/>
      <c r="I322" s="231"/>
      <c r="J322" s="299"/>
      <c r="K322" s="299"/>
      <c r="L322" s="299"/>
      <c r="M322" s="299"/>
      <c r="N322" s="299"/>
      <c r="O322" s="299"/>
      <c r="P322" s="299"/>
      <c r="Q322" s="265">
        <f t="shared" si="39"/>
        <v>0</v>
      </c>
      <c r="R322" s="265"/>
      <c r="S322" s="314"/>
      <c r="U322" s="314"/>
      <c r="V322" s="314"/>
      <c r="W322" s="314"/>
      <c r="X322" s="314"/>
      <c r="Y322" s="314"/>
      <c r="Z322" s="314"/>
      <c r="AA322" s="314"/>
      <c r="AB322" s="314"/>
      <c r="AC322" s="314"/>
      <c r="AD322" s="314"/>
      <c r="AE322" s="314"/>
      <c r="AF322" s="314"/>
      <c r="AG322" s="314"/>
      <c r="AH322" s="314"/>
      <c r="AI322" s="314"/>
      <c r="AJ322" s="314"/>
      <c r="AK322" s="314"/>
      <c r="AL322" s="314"/>
      <c r="AM322" s="314"/>
      <c r="AN322" s="314"/>
      <c r="AO322" s="314"/>
    </row>
    <row r="323" spans="1:41" ht="15.75" customHeight="1">
      <c r="A323" s="231" t="s">
        <v>670</v>
      </c>
      <c r="B323" s="260">
        <f>('Pivot Table for Data Exchange'!$M$151)*100</f>
        <v>0</v>
      </c>
      <c r="C323" s="260">
        <f>('Pivot Table for Data Exchange'!$M$154)*100</f>
        <v>0</v>
      </c>
      <c r="D323" s="261">
        <f t="shared" ref="D323:D324" si="43">SUM(E323:G323)</f>
        <v>0</v>
      </c>
      <c r="E323" s="260">
        <f>('Pivot Table for Data Exchange'!$M$157)*100</f>
        <v>0</v>
      </c>
      <c r="F323" s="260">
        <f>('Pivot Table for Data Exchange'!$M$160)*100</f>
        <v>0</v>
      </c>
      <c r="G323" s="268">
        <f>('Pivot Table for Data Exchange'!$M$163)*100</f>
        <v>0</v>
      </c>
      <c r="H323" s="260">
        <f>('Pivot Table for Data Exchange'!$M$166)*100</f>
        <v>0</v>
      </c>
      <c r="I323" s="231"/>
      <c r="J323" s="299"/>
      <c r="K323" s="299"/>
      <c r="L323" s="299"/>
      <c r="M323" s="299"/>
      <c r="N323" s="299"/>
      <c r="O323" s="299"/>
      <c r="P323" s="299"/>
      <c r="Q323" s="265">
        <f t="shared" si="39"/>
        <v>0</v>
      </c>
      <c r="R323" s="265"/>
      <c r="S323" s="314"/>
      <c r="T323" s="314"/>
      <c r="U323" s="314"/>
      <c r="V323" s="314"/>
      <c r="W323" s="314"/>
      <c r="X323" s="314"/>
      <c r="Y323" s="314"/>
      <c r="Z323" s="314"/>
      <c r="AA323" s="314"/>
      <c r="AB323" s="314"/>
      <c r="AC323" s="314"/>
      <c r="AD323" s="314"/>
      <c r="AE323" s="314"/>
      <c r="AF323" s="314"/>
      <c r="AG323" s="314"/>
      <c r="AH323" s="314"/>
      <c r="AI323" s="314"/>
      <c r="AJ323" s="314"/>
      <c r="AK323" s="314"/>
      <c r="AL323" s="314"/>
      <c r="AM323" s="314"/>
      <c r="AN323" s="314"/>
      <c r="AO323" s="314"/>
    </row>
    <row r="324" spans="1:41" ht="15.75" customHeight="1">
      <c r="A324" s="231" t="s">
        <v>671</v>
      </c>
      <c r="B324" s="260">
        <f>('Pivot Table for Data Exchange'!$M$187)*100</f>
        <v>47.769083792403677</v>
      </c>
      <c r="C324" s="260">
        <f>('Pivot Table for Data Exchange'!$M$190)*100</f>
        <v>6.6391583490186923</v>
      </c>
      <c r="D324" s="261">
        <f t="shared" si="43"/>
        <v>45.591757858577644</v>
      </c>
      <c r="E324" s="260">
        <f>('Pivot Table for Data Exchange'!$M$193)*100</f>
        <v>45.591757858577644</v>
      </c>
      <c r="F324" s="260">
        <f>('Pivot Table for Data Exchange'!$M$196)*100</f>
        <v>0</v>
      </c>
      <c r="G324" s="268">
        <f>('Pivot Table for Data Exchange'!$M$199)*100</f>
        <v>0</v>
      </c>
      <c r="H324" s="260">
        <f>('Pivot Table for Data Exchange'!$M$202)*100</f>
        <v>0</v>
      </c>
      <c r="I324" s="231"/>
      <c r="J324" s="299"/>
      <c r="K324" s="299"/>
      <c r="L324" s="299"/>
      <c r="M324" s="299"/>
      <c r="N324" s="299"/>
      <c r="O324" s="299"/>
      <c r="P324" s="299"/>
      <c r="Q324" s="265">
        <f t="shared" si="39"/>
        <v>100.00000000000001</v>
      </c>
      <c r="R324" s="265"/>
      <c r="S324" s="314"/>
      <c r="T324" s="314"/>
      <c r="U324" s="314"/>
      <c r="V324" s="314"/>
      <c r="W324" s="314"/>
      <c r="X324" s="314"/>
      <c r="Y324" s="314"/>
      <c r="Z324" s="314"/>
      <c r="AA324" s="314"/>
      <c r="AB324" s="314"/>
      <c r="AC324" s="314"/>
      <c r="AD324" s="314"/>
      <c r="AE324" s="314"/>
      <c r="AF324" s="314"/>
      <c r="AG324" s="314"/>
      <c r="AH324" s="314"/>
      <c r="AI324" s="314"/>
      <c r="AJ324" s="314"/>
      <c r="AK324" s="314"/>
      <c r="AL324" s="314"/>
      <c r="AM324" s="314"/>
      <c r="AN324" s="314"/>
      <c r="AO324" s="314"/>
    </row>
    <row r="325" spans="1:41" ht="15.75" customHeight="1">
      <c r="A325" s="231" t="s">
        <v>672</v>
      </c>
      <c r="B325" s="260">
        <f>('Pivot Table for Data Exchange'!$M$223)*100</f>
        <v>71.253604937818039</v>
      </c>
      <c r="C325" s="260">
        <f>('Pivot Table for Data Exchange'!$M$226)*100</f>
        <v>0</v>
      </c>
      <c r="D325" s="261">
        <f>SUM(E325:G325)</f>
        <v>28.746395062181968</v>
      </c>
      <c r="E325" s="260">
        <f>('Pivot Table for Data Exchange'!$M$229)*100</f>
        <v>28.746395062181968</v>
      </c>
      <c r="F325" s="260">
        <f>('Pivot Table for Data Exchange'!$M$232)*100</f>
        <v>0</v>
      </c>
      <c r="G325" s="268">
        <f>('Pivot Table for Data Exchange'!$M$235)*100</f>
        <v>0</v>
      </c>
      <c r="H325" s="260">
        <f>('Pivot Table for Data Exchange'!$M$238)*100</f>
        <v>0</v>
      </c>
      <c r="I325" s="231"/>
      <c r="J325" s="299"/>
      <c r="K325" s="299"/>
      <c r="L325" s="299"/>
      <c r="M325" s="299"/>
      <c r="N325" s="299"/>
      <c r="O325" s="299"/>
      <c r="P325" s="299"/>
      <c r="Q325" s="265">
        <f t="shared" si="39"/>
        <v>100</v>
      </c>
      <c r="R325" s="265"/>
      <c r="S325" s="314"/>
      <c r="T325" s="318"/>
      <c r="U325" s="314"/>
      <c r="V325" s="314"/>
      <c r="W325" s="314"/>
      <c r="X325" s="314"/>
      <c r="Y325" s="314"/>
      <c r="Z325" s="314"/>
      <c r="AA325" s="314"/>
      <c r="AB325" s="314"/>
      <c r="AC325" s="314"/>
      <c r="AD325" s="314"/>
      <c r="AE325" s="314"/>
      <c r="AF325" s="314"/>
      <c r="AG325" s="314"/>
      <c r="AH325" s="314"/>
      <c r="AI325" s="314"/>
      <c r="AJ325" s="314"/>
      <c r="AK325" s="314"/>
      <c r="AL325" s="314"/>
      <c r="AM325" s="314"/>
      <c r="AN325" s="314"/>
      <c r="AO325" s="314"/>
    </row>
    <row r="326" spans="1:41" ht="15.75" customHeight="1">
      <c r="A326" s="231" t="s">
        <v>673</v>
      </c>
      <c r="B326" s="260">
        <f>('Pivot Table for Data Exchange'!$M$259)*100</f>
        <v>64.598467750265769</v>
      </c>
      <c r="C326" s="260">
        <f>('Pivot Table for Data Exchange'!$M$262)*100</f>
        <v>4.6219789441353196</v>
      </c>
      <c r="D326" s="261">
        <f>SUM(E326:G326)</f>
        <v>30.774617051831576</v>
      </c>
      <c r="E326" s="260">
        <f>('Pivot Table for Data Exchange'!$M$265)*100</f>
        <v>30.62890615358879</v>
      </c>
      <c r="F326" s="260">
        <f>('Pivot Table for Data Exchange'!$M$268)*100</f>
        <v>0.14571089824278508</v>
      </c>
      <c r="G326" s="268">
        <f>('Pivot Table for Data Exchange'!$M$271)*100</f>
        <v>0</v>
      </c>
      <c r="H326" s="272">
        <f>('Pivot Table for Data Exchange'!$M$274)*100</f>
        <v>4.9362537673214519E-3</v>
      </c>
      <c r="I326" s="231"/>
      <c r="J326" s="299"/>
      <c r="K326" s="299"/>
      <c r="L326" s="299"/>
      <c r="M326" s="299"/>
      <c r="N326" s="299"/>
      <c r="O326" s="299"/>
      <c r="P326" s="299"/>
      <c r="Q326" s="265">
        <f t="shared" si="39"/>
        <v>99.999999999999986</v>
      </c>
      <c r="R326" s="265"/>
      <c r="S326" s="314"/>
      <c r="U326" s="314"/>
      <c r="V326" s="314"/>
      <c r="W326" s="314"/>
      <c r="X326" s="314"/>
      <c r="Y326" s="314"/>
      <c r="Z326" s="314"/>
      <c r="AA326" s="314"/>
      <c r="AB326" s="314"/>
      <c r="AC326" s="314"/>
      <c r="AD326" s="314"/>
      <c r="AE326" s="314"/>
      <c r="AF326" s="314"/>
      <c r="AG326" s="314"/>
      <c r="AH326" s="314"/>
      <c r="AI326" s="314"/>
      <c r="AJ326" s="314"/>
      <c r="AK326" s="314"/>
      <c r="AL326" s="314"/>
      <c r="AM326" s="314"/>
      <c r="AN326" s="314"/>
      <c r="AO326" s="314"/>
    </row>
    <row r="327" spans="1:41" ht="12" customHeight="1">
      <c r="B327" s="260"/>
      <c r="C327" s="260"/>
      <c r="D327" s="261"/>
      <c r="E327" s="260"/>
      <c r="F327" s="260"/>
      <c r="G327" s="268"/>
      <c r="H327" s="260"/>
      <c r="I327" s="231"/>
      <c r="J327" s="299"/>
      <c r="K327" s="299"/>
      <c r="L327" s="299"/>
      <c r="M327" s="299"/>
      <c r="N327" s="299"/>
      <c r="O327" s="299"/>
      <c r="P327" s="299"/>
      <c r="Q327" s="265">
        <f t="shared" si="39"/>
        <v>0</v>
      </c>
      <c r="R327" s="265"/>
      <c r="S327" s="314"/>
      <c r="U327" s="314"/>
      <c r="V327" s="314"/>
      <c r="W327" s="314"/>
      <c r="X327" s="314"/>
      <c r="Y327" s="314"/>
      <c r="Z327" s="314"/>
      <c r="AA327" s="314"/>
      <c r="AB327" s="314"/>
      <c r="AC327" s="314"/>
      <c r="AD327" s="314"/>
      <c r="AE327" s="314"/>
      <c r="AF327" s="314"/>
      <c r="AG327" s="314"/>
      <c r="AH327" s="314"/>
      <c r="AI327" s="314"/>
      <c r="AJ327" s="314"/>
      <c r="AK327" s="314"/>
      <c r="AL327" s="314"/>
      <c r="AM327" s="314"/>
      <c r="AN327" s="314"/>
      <c r="AO327" s="314"/>
    </row>
    <row r="328" spans="1:41" ht="15.75" customHeight="1">
      <c r="A328" s="231" t="s">
        <v>720</v>
      </c>
      <c r="B328" s="260">
        <f>('Pivot Table for Data Exchange'!$M$295)*100</f>
        <v>95.908166247907431</v>
      </c>
      <c r="C328" s="260">
        <f>('Pivot Table for Data Exchange'!$M$298)*100</f>
        <v>4.0918337520925663</v>
      </c>
      <c r="D328" s="261">
        <f>SUM(E328:G328)</f>
        <v>0</v>
      </c>
      <c r="E328" s="260">
        <f>('Pivot Table for Data Exchange'!$M$301)*100</f>
        <v>0</v>
      </c>
      <c r="F328" s="260">
        <f>('Pivot Table for Data Exchange'!$M$304)*100</f>
        <v>0</v>
      </c>
      <c r="G328" s="268">
        <f>('Pivot Table for Data Exchange'!$M$307)*100</f>
        <v>0</v>
      </c>
      <c r="H328" s="260">
        <f>('Pivot Table for Data Exchange'!$M$310)*100</f>
        <v>0</v>
      </c>
      <c r="I328" s="306"/>
      <c r="J328" s="299"/>
      <c r="K328" s="299"/>
      <c r="L328" s="299"/>
      <c r="M328" s="299"/>
      <c r="N328" s="299"/>
      <c r="O328" s="299"/>
      <c r="P328" s="299"/>
      <c r="Q328" s="265">
        <f t="shared" si="39"/>
        <v>100</v>
      </c>
      <c r="R328" s="265"/>
      <c r="S328" s="314"/>
      <c r="T328" s="314"/>
      <c r="U328" s="314"/>
      <c r="V328" s="314"/>
      <c r="W328" s="314"/>
      <c r="X328" s="314"/>
      <c r="Y328" s="314"/>
      <c r="Z328" s="314"/>
      <c r="AA328" s="314"/>
      <c r="AB328" s="314"/>
      <c r="AC328" s="314"/>
      <c r="AD328" s="314"/>
      <c r="AE328" s="314"/>
      <c r="AF328" s="314"/>
      <c r="AG328" s="314"/>
      <c r="AH328" s="314"/>
      <c r="AI328" s="314"/>
      <c r="AJ328" s="314"/>
      <c r="AK328" s="314"/>
      <c r="AL328" s="314"/>
      <c r="AM328" s="314"/>
      <c r="AN328" s="314"/>
      <c r="AO328" s="314"/>
    </row>
    <row r="329" spans="1:41" ht="15.75" customHeight="1">
      <c r="A329" s="231" t="s">
        <v>675</v>
      </c>
      <c r="B329" s="260">
        <f>('Pivot Table for Data Exchange'!$M$331)*100</f>
        <v>48.912926962682285</v>
      </c>
      <c r="C329" s="260">
        <f>('Pivot Table for Data Exchange'!$M$334)*100</f>
        <v>4.7536092331684996</v>
      </c>
      <c r="D329" s="261">
        <f>SUM(E329:G329)</f>
        <v>46.333463804149218</v>
      </c>
      <c r="E329" s="260">
        <f>('Pivot Table for Data Exchange'!$M$337)*100</f>
        <v>46.124097959693707</v>
      </c>
      <c r="F329" s="260">
        <f>('Pivot Table for Data Exchange'!$M$340)*100</f>
        <v>0.20936584445551099</v>
      </c>
      <c r="G329" s="267">
        <f>('Pivot Table for Data Exchange'!$M$343)*100</f>
        <v>0</v>
      </c>
      <c r="H329" s="260">
        <f>('Pivot Table for Data Exchange'!$M$346)*100</f>
        <v>0</v>
      </c>
      <c r="I329" s="231"/>
      <c r="J329" s="299"/>
      <c r="K329" s="299"/>
      <c r="L329" s="299"/>
      <c r="M329" s="299"/>
      <c r="N329" s="299"/>
      <c r="O329" s="299"/>
      <c r="P329" s="299"/>
      <c r="Q329" s="265">
        <f t="shared" si="39"/>
        <v>100</v>
      </c>
      <c r="R329" s="265"/>
      <c r="S329" s="314"/>
      <c r="T329" s="314"/>
      <c r="U329" s="314"/>
      <c r="V329" s="314"/>
      <c r="W329" s="314"/>
      <c r="X329" s="314"/>
      <c r="Y329" s="314"/>
      <c r="Z329" s="314"/>
      <c r="AA329" s="314"/>
      <c r="AB329" s="314"/>
      <c r="AC329" s="314"/>
      <c r="AD329" s="314"/>
      <c r="AE329" s="314"/>
      <c r="AF329" s="314"/>
      <c r="AG329" s="314"/>
      <c r="AH329" s="314"/>
      <c r="AI329" s="314"/>
      <c r="AJ329" s="314"/>
      <c r="AK329" s="314"/>
      <c r="AL329" s="314"/>
      <c r="AM329" s="314"/>
      <c r="AN329" s="314"/>
      <c r="AO329" s="314"/>
    </row>
    <row r="330" spans="1:41" ht="15.75" customHeight="1">
      <c r="A330" s="231" t="s">
        <v>676</v>
      </c>
      <c r="B330" s="260">
        <f>('Pivot Table for Data Exchange'!$M$367)*100</f>
        <v>66.446195491138454</v>
      </c>
      <c r="C330" s="260">
        <f>('Pivot Table for Data Exchange'!$M$370)*100</f>
        <v>0.56699762453608138</v>
      </c>
      <c r="D330" s="261">
        <f>SUM(E330:G330)</f>
        <v>32.986806884325453</v>
      </c>
      <c r="E330" s="260">
        <f>('Pivot Table for Data Exchange'!$M$373)*100</f>
        <v>26.419879569503664</v>
      </c>
      <c r="F330" s="260">
        <f>('Pivot Table for Data Exchange'!$M$376)*100</f>
        <v>6.5669273148217897</v>
      </c>
      <c r="G330" s="267">
        <f>('Pivot Table for Data Exchange'!$M$379)*100</f>
        <v>0</v>
      </c>
      <c r="H330" s="260">
        <f>('Pivot Table for Data Exchange'!$M$382)*100</f>
        <v>0</v>
      </c>
      <c r="I330" s="231"/>
      <c r="J330" s="299"/>
      <c r="K330" s="299"/>
      <c r="L330" s="299"/>
      <c r="M330" s="299"/>
      <c r="N330" s="299"/>
      <c r="O330" s="299"/>
      <c r="P330" s="299"/>
      <c r="Q330" s="265">
        <f t="shared" si="39"/>
        <v>100</v>
      </c>
      <c r="R330" s="265"/>
      <c r="S330" s="314"/>
      <c r="T330" s="318"/>
      <c r="U330" s="314"/>
      <c r="V330" s="314"/>
      <c r="W330" s="314"/>
      <c r="X330" s="314"/>
      <c r="Y330" s="314"/>
      <c r="Z330" s="314"/>
      <c r="AA330" s="314"/>
      <c r="AB330" s="314"/>
      <c r="AC330" s="314"/>
      <c r="AD330" s="314"/>
      <c r="AE330" s="314"/>
      <c r="AF330" s="314"/>
      <c r="AG330" s="314"/>
      <c r="AH330" s="314"/>
      <c r="AI330" s="314"/>
      <c r="AJ330" s="314"/>
      <c r="AK330" s="314"/>
      <c r="AL330" s="314"/>
      <c r="AM330" s="314"/>
      <c r="AN330" s="314"/>
      <c r="AO330" s="314"/>
    </row>
    <row r="331" spans="1:41" ht="15.75" customHeight="1">
      <c r="A331" s="231" t="s">
        <v>677</v>
      </c>
      <c r="B331" s="260">
        <f>('Pivot Table for Data Exchange'!$M$403)*100</f>
        <v>55.451406431408238</v>
      </c>
      <c r="C331" s="260">
        <f>('Pivot Table for Data Exchange'!$M$406)*100</f>
        <v>7.7347872201608023</v>
      </c>
      <c r="D331" s="261">
        <f>SUM(E331:G331)</f>
        <v>36.813806348430958</v>
      </c>
      <c r="E331" s="260">
        <f>('Pivot Table for Data Exchange'!$M$409)*100</f>
        <v>35.240249333337793</v>
      </c>
      <c r="F331" s="260">
        <f>('Pivot Table for Data Exchange'!$M$412)*100</f>
        <v>1.5735570150931653</v>
      </c>
      <c r="G331" s="270">
        <f>('Pivot Table for Data Exchange'!$M$415)*100</f>
        <v>0</v>
      </c>
      <c r="H331" s="260">
        <f>('Pivot Table for Data Exchange'!$M$418)*100</f>
        <v>0</v>
      </c>
      <c r="I331" s="231"/>
      <c r="J331" s="299"/>
      <c r="K331" s="299"/>
      <c r="L331" s="299"/>
      <c r="M331" s="299"/>
      <c r="N331" s="299"/>
      <c r="O331" s="299"/>
      <c r="P331" s="299"/>
      <c r="Q331" s="265">
        <f t="shared" si="39"/>
        <v>100</v>
      </c>
      <c r="R331" s="265"/>
      <c r="S331" s="314"/>
      <c r="T331" s="314"/>
      <c r="U331" s="314"/>
      <c r="V331" s="314"/>
      <c r="W331" s="314"/>
      <c r="X331" s="314"/>
      <c r="Y331" s="314"/>
      <c r="Z331" s="314"/>
      <c r="AA331" s="314"/>
      <c r="AB331" s="314"/>
      <c r="AC331" s="314"/>
      <c r="AD331" s="314"/>
      <c r="AE331" s="314"/>
      <c r="AF331" s="314"/>
      <c r="AG331" s="314"/>
      <c r="AH331" s="314"/>
      <c r="AI331" s="314"/>
      <c r="AJ331" s="314"/>
      <c r="AK331" s="314"/>
      <c r="AL331" s="314"/>
      <c r="AM331" s="314"/>
      <c r="AN331" s="314"/>
      <c r="AO331" s="314"/>
    </row>
    <row r="332" spans="1:41" ht="12.75" customHeight="1">
      <c r="B332" s="260"/>
      <c r="C332" s="260"/>
      <c r="D332" s="261"/>
      <c r="E332" s="260"/>
      <c r="F332" s="260"/>
      <c r="G332" s="268"/>
      <c r="H332" s="260"/>
      <c r="I332" s="231"/>
      <c r="J332" s="299"/>
      <c r="K332" s="299"/>
      <c r="L332" s="299"/>
      <c r="M332" s="299"/>
      <c r="N332" s="299"/>
      <c r="O332" s="299"/>
      <c r="P332" s="299"/>
      <c r="Q332" s="265">
        <f t="shared" si="39"/>
        <v>0</v>
      </c>
      <c r="R332" s="265"/>
      <c r="S332" s="314"/>
      <c r="T332" s="314"/>
      <c r="U332" s="314"/>
      <c r="V332" s="314"/>
      <c r="W332" s="314"/>
      <c r="X332" s="314"/>
      <c r="Y332" s="314"/>
      <c r="Z332" s="314"/>
      <c r="AA332" s="314"/>
      <c r="AB332" s="314"/>
      <c r="AC332" s="314"/>
      <c r="AD332" s="314"/>
      <c r="AE332" s="314"/>
      <c r="AF332" s="314"/>
      <c r="AG332" s="314"/>
      <c r="AH332" s="314"/>
      <c r="AI332" s="314"/>
      <c r="AJ332" s="314"/>
      <c r="AK332" s="314"/>
      <c r="AL332" s="314"/>
      <c r="AM332" s="314"/>
      <c r="AN332" s="314"/>
      <c r="AO332" s="314"/>
    </row>
    <row r="333" spans="1:41" ht="15.75" customHeight="1">
      <c r="A333" s="231" t="s">
        <v>678</v>
      </c>
      <c r="B333" s="260">
        <f>('Pivot Table for Data Exchange'!$M$439)*100</f>
        <v>32.356260524184741</v>
      </c>
      <c r="C333" s="260">
        <f>('Pivot Table for Data Exchange'!$M$442)*100</f>
        <v>34.651464709436098</v>
      </c>
      <c r="D333" s="261">
        <f>SUM(E333:G333)</f>
        <v>32.782369500109262</v>
      </c>
      <c r="E333" s="260">
        <f>('Pivot Table for Data Exchange'!$M$445)*100</f>
        <v>23.414013393832668</v>
      </c>
      <c r="F333" s="260">
        <f>('Pivot Table for Data Exchange'!$M$448)*100</f>
        <v>2.9624535650474955</v>
      </c>
      <c r="G333" s="268">
        <f>('Pivot Table for Data Exchange'!$M$451)*100</f>
        <v>6.4059025412290955</v>
      </c>
      <c r="H333" s="260">
        <f>('Pivot Table for Data Exchange'!$M$454)*100</f>
        <v>0.20990526626990758</v>
      </c>
      <c r="I333" s="231"/>
      <c r="J333" s="299"/>
      <c r="K333" s="299"/>
      <c r="L333" s="299"/>
      <c r="M333" s="299"/>
      <c r="N333" s="299"/>
      <c r="O333" s="299"/>
      <c r="P333" s="299"/>
      <c r="Q333" s="265">
        <f t="shared" si="39"/>
        <v>100.00000000000003</v>
      </c>
      <c r="R333" s="265"/>
      <c r="S333" s="314"/>
      <c r="T333" s="314"/>
      <c r="U333" s="314"/>
      <c r="V333" s="314"/>
      <c r="W333" s="314"/>
      <c r="X333" s="314"/>
      <c r="Y333" s="314"/>
      <c r="Z333" s="314"/>
      <c r="AA333" s="314"/>
      <c r="AB333" s="314"/>
      <c r="AC333" s="314"/>
      <c r="AD333" s="314"/>
      <c r="AE333" s="314"/>
      <c r="AF333" s="314"/>
      <c r="AG333" s="314"/>
      <c r="AH333" s="314"/>
      <c r="AI333" s="314"/>
      <c r="AJ333" s="314"/>
      <c r="AK333" s="314"/>
      <c r="AL333" s="314"/>
      <c r="AM333" s="314"/>
      <c r="AN333" s="314"/>
      <c r="AO333" s="314"/>
    </row>
    <row r="334" spans="1:41" ht="15.75" customHeight="1">
      <c r="A334" s="231" t="s">
        <v>679</v>
      </c>
      <c r="B334" s="260">
        <f>('Pivot Table for Data Exchange'!$M$475)*100</f>
        <v>0</v>
      </c>
      <c r="C334" s="260">
        <f>('Pivot Table for Data Exchange'!$M$478)*100</f>
        <v>0</v>
      </c>
      <c r="D334" s="261">
        <f>SUM(E334:G334)</f>
        <v>0</v>
      </c>
      <c r="E334" s="260">
        <f>('Pivot Table for Data Exchange'!$M$481)*100</f>
        <v>0</v>
      </c>
      <c r="F334" s="260">
        <f>('Pivot Table for Data Exchange'!$M$484)*100</f>
        <v>0</v>
      </c>
      <c r="G334" s="268">
        <f>('Pivot Table for Data Exchange'!$M$487)*100</f>
        <v>0</v>
      </c>
      <c r="H334" s="260">
        <f>('Pivot Table for Data Exchange'!$M$490)*100</f>
        <v>0</v>
      </c>
      <c r="I334" s="231"/>
      <c r="J334" s="299"/>
      <c r="K334" s="299"/>
      <c r="L334" s="299"/>
      <c r="M334" s="299"/>
      <c r="N334" s="299"/>
      <c r="O334" s="299"/>
      <c r="P334" s="299"/>
      <c r="Q334" s="265">
        <f t="shared" si="39"/>
        <v>0</v>
      </c>
      <c r="R334" s="265"/>
      <c r="S334" s="314"/>
      <c r="T334" s="314"/>
      <c r="U334" s="314"/>
      <c r="V334" s="314"/>
      <c r="W334" s="314"/>
      <c r="X334" s="314"/>
      <c r="Y334" s="314"/>
      <c r="Z334" s="314"/>
      <c r="AA334" s="314"/>
      <c r="AB334" s="314"/>
      <c r="AC334" s="314"/>
      <c r="AD334" s="314"/>
      <c r="AE334" s="314"/>
      <c r="AF334" s="314"/>
      <c r="AG334" s="314"/>
      <c r="AH334" s="314"/>
      <c r="AI334" s="314"/>
      <c r="AJ334" s="314"/>
      <c r="AK334" s="314"/>
      <c r="AL334" s="314"/>
      <c r="AM334" s="314"/>
      <c r="AN334" s="314"/>
      <c r="AO334" s="314"/>
    </row>
    <row r="335" spans="1:41" ht="15.75" customHeight="1">
      <c r="A335" s="231" t="s">
        <v>680</v>
      </c>
      <c r="B335" s="260">
        <f>('Pivot Table for Data Exchange'!$M$511)*100</f>
        <v>39.946577089983343</v>
      </c>
      <c r="C335" s="260">
        <f>('Pivot Table for Data Exchange'!$M$514)*100</f>
        <v>24.568550116705939</v>
      </c>
      <c r="D335" s="261">
        <f>SUM(E335:G335)</f>
        <v>35.484872793310714</v>
      </c>
      <c r="E335" s="260">
        <f>('Pivot Table for Data Exchange'!$M$517)*100</f>
        <v>29.430369169577354</v>
      </c>
      <c r="F335" s="260">
        <f>('Pivot Table for Data Exchange'!$M$520)*100</f>
        <v>6.054503623733364</v>
      </c>
      <c r="G335" s="268">
        <f>('Pivot Table for Data Exchange'!$M$523)*100</f>
        <v>0</v>
      </c>
      <c r="H335" s="260">
        <f>('Pivot Table for Data Exchange'!$M$526)*100</f>
        <v>0</v>
      </c>
      <c r="I335" s="231"/>
      <c r="J335" s="299"/>
      <c r="K335" s="299"/>
      <c r="L335" s="299"/>
      <c r="M335" s="299"/>
      <c r="N335" s="299"/>
      <c r="O335" s="299"/>
      <c r="P335" s="299"/>
      <c r="Q335" s="265">
        <f t="shared" si="39"/>
        <v>100</v>
      </c>
      <c r="R335" s="265"/>
      <c r="S335" s="314"/>
      <c r="T335" s="314"/>
      <c r="U335" s="314"/>
      <c r="V335" s="314"/>
      <c r="W335" s="314"/>
      <c r="X335" s="314"/>
      <c r="Y335" s="314"/>
      <c r="Z335" s="314"/>
      <c r="AA335" s="314"/>
      <c r="AB335" s="314"/>
      <c r="AC335" s="314"/>
      <c r="AD335" s="314"/>
      <c r="AE335" s="314"/>
      <c r="AF335" s="314"/>
      <c r="AG335" s="314"/>
      <c r="AH335" s="314"/>
      <c r="AI335" s="314"/>
      <c r="AJ335" s="314"/>
      <c r="AK335" s="314"/>
      <c r="AL335" s="314"/>
      <c r="AM335" s="314"/>
      <c r="AN335" s="314"/>
      <c r="AO335" s="314"/>
    </row>
    <row r="336" spans="1:41" ht="15.75" customHeight="1">
      <c r="A336" s="237" t="s">
        <v>681</v>
      </c>
      <c r="B336" s="273">
        <f>('Pivot Table for Data Exchange'!$M$547)*100</f>
        <v>63.479458342896486</v>
      </c>
      <c r="C336" s="273">
        <f>('Pivot Table for Data Exchange'!$M$550)*100</f>
        <v>13.581210312906434</v>
      </c>
      <c r="D336" s="274">
        <f>SUM(E336:G336)</f>
        <v>22.939331344197079</v>
      </c>
      <c r="E336" s="273">
        <f>('Pivot Table for Data Exchange'!$M$553)*100</f>
        <v>22.939331344197079</v>
      </c>
      <c r="F336" s="273">
        <f>('Pivot Table for Data Exchange'!$M$556)*100</f>
        <v>0</v>
      </c>
      <c r="G336" s="296">
        <f>('Pivot Table for Data Exchange'!$M$559)*100</f>
        <v>0</v>
      </c>
      <c r="H336" s="273">
        <f>('Pivot Table for Data Exchange'!$M$562)*100</f>
        <v>0</v>
      </c>
      <c r="I336" s="231"/>
      <c r="J336" s="299"/>
      <c r="K336" s="299"/>
      <c r="L336" s="299"/>
      <c r="M336" s="299"/>
      <c r="N336" s="299"/>
      <c r="O336" s="299"/>
      <c r="P336" s="299"/>
      <c r="Q336" s="265">
        <f t="shared" si="39"/>
        <v>100</v>
      </c>
      <c r="R336" s="265"/>
      <c r="S336" s="314"/>
      <c r="T336" s="314"/>
      <c r="U336" s="314"/>
      <c r="V336" s="314"/>
      <c r="W336" s="314"/>
      <c r="X336" s="314"/>
      <c r="Y336" s="314"/>
      <c r="Z336" s="314"/>
      <c r="AA336" s="314"/>
      <c r="AB336" s="314"/>
      <c r="AC336" s="314"/>
      <c r="AD336" s="314"/>
      <c r="AE336" s="314"/>
      <c r="AF336" s="314"/>
      <c r="AG336" s="314"/>
      <c r="AH336" s="314"/>
      <c r="AI336" s="314"/>
      <c r="AJ336" s="314"/>
      <c r="AK336" s="314"/>
      <c r="AL336" s="314"/>
      <c r="AM336" s="314"/>
      <c r="AN336" s="314"/>
      <c r="AO336" s="314"/>
    </row>
    <row r="337" spans="1:41" s="304" customFormat="1" ht="12" customHeight="1">
      <c r="A337" s="279" t="s">
        <v>706</v>
      </c>
      <c r="B337" s="280"/>
      <c r="C337" s="280"/>
      <c r="D337" s="281"/>
      <c r="E337" s="280"/>
      <c r="F337" s="281"/>
      <c r="G337" s="281"/>
      <c r="H337" s="280"/>
      <c r="I337" s="289"/>
      <c r="J337" s="280"/>
      <c r="K337" s="280"/>
      <c r="L337" s="281"/>
      <c r="M337" s="280"/>
      <c r="N337" s="281"/>
      <c r="O337" s="281"/>
      <c r="P337" s="280"/>
      <c r="Q337" s="265">
        <f t="shared" si="39"/>
        <v>0</v>
      </c>
      <c r="R337" s="300"/>
      <c r="S337" s="317"/>
      <c r="T337" s="317"/>
      <c r="U337" s="317"/>
      <c r="V337" s="317"/>
      <c r="W337" s="317"/>
      <c r="X337" s="317"/>
      <c r="Y337" s="317"/>
      <c r="Z337" s="317"/>
      <c r="AA337" s="317"/>
      <c r="AB337" s="317"/>
      <c r="AC337" s="317"/>
      <c r="AD337" s="317"/>
      <c r="AE337" s="317"/>
      <c r="AF337" s="317"/>
      <c r="AG337" s="317"/>
      <c r="AH337" s="317"/>
      <c r="AI337" s="317"/>
      <c r="AJ337" s="317"/>
      <c r="AK337" s="317"/>
      <c r="AL337" s="317"/>
      <c r="AM337" s="317"/>
      <c r="AN337" s="317"/>
      <c r="AO337" s="317"/>
    </row>
    <row r="338" spans="1:41" s="304" customFormat="1" ht="24" customHeight="1">
      <c r="A338" s="490" t="s">
        <v>721</v>
      </c>
      <c r="B338" s="491"/>
      <c r="C338" s="491"/>
      <c r="D338" s="491"/>
      <c r="E338" s="491"/>
      <c r="F338" s="491"/>
      <c r="G338" s="491"/>
      <c r="H338" s="491"/>
      <c r="I338" s="289"/>
      <c r="J338" s="278"/>
      <c r="K338" s="278"/>
      <c r="L338" s="278"/>
      <c r="M338" s="278"/>
      <c r="N338" s="278"/>
      <c r="O338" s="278"/>
      <c r="P338" s="291"/>
      <c r="Q338" s="265">
        <f t="shared" si="39"/>
        <v>0</v>
      </c>
      <c r="R338" s="301"/>
    </row>
    <row r="339" spans="1:41" s="304" customFormat="1" ht="11.25" customHeight="1">
      <c r="A339" s="277"/>
      <c r="B339" s="319"/>
      <c r="C339" s="319"/>
      <c r="D339" s="319"/>
      <c r="E339" s="319"/>
      <c r="F339" s="319"/>
      <c r="G339" s="319"/>
      <c r="H339" s="319"/>
      <c r="I339" s="289"/>
      <c r="J339" s="278"/>
      <c r="K339" s="278"/>
      <c r="L339" s="278"/>
      <c r="M339" s="278"/>
      <c r="N339" s="278"/>
      <c r="O339" s="278"/>
      <c r="P339" s="291"/>
      <c r="Q339" s="265"/>
      <c r="R339" s="301"/>
    </row>
    <row r="340" spans="1:41" s="304" customFormat="1">
      <c r="A340" s="278"/>
      <c r="B340" s="278"/>
      <c r="C340" s="278"/>
      <c r="D340" s="278"/>
      <c r="E340" s="278"/>
      <c r="F340" s="278"/>
      <c r="G340" s="278"/>
      <c r="H340" s="284" t="s">
        <v>839</v>
      </c>
      <c r="I340" s="278"/>
      <c r="J340" s="278"/>
      <c r="K340" s="278"/>
      <c r="L340" s="278"/>
      <c r="M340" s="278"/>
      <c r="N340" s="278"/>
      <c r="O340" s="278"/>
      <c r="P340" s="278"/>
      <c r="Q340" s="265">
        <f t="shared" si="39"/>
        <v>0</v>
      </c>
    </row>
    <row r="341" spans="1:41" ht="18">
      <c r="A341" s="226" t="s">
        <v>726</v>
      </c>
      <c r="B341" s="227"/>
      <c r="C341" s="227"/>
      <c r="D341" s="227"/>
      <c r="E341" s="227"/>
      <c r="F341" s="227"/>
      <c r="G341" s="227"/>
      <c r="H341" s="227"/>
      <c r="L341" s="227"/>
      <c r="Q341" s="265">
        <f t="shared" si="39"/>
        <v>0</v>
      </c>
    </row>
    <row r="342" spans="1:41" ht="13">
      <c r="A342" s="232"/>
      <c r="B342" s="228"/>
      <c r="C342" s="228"/>
      <c r="D342" s="228"/>
      <c r="E342" s="228"/>
      <c r="F342" s="228"/>
      <c r="G342" s="228"/>
      <c r="H342" s="228"/>
      <c r="Q342" s="265">
        <f t="shared" si="39"/>
        <v>0</v>
      </c>
    </row>
    <row r="343" spans="1:41" ht="15.5">
      <c r="A343" s="234" t="s">
        <v>687</v>
      </c>
      <c r="B343" s="228"/>
      <c r="C343" s="228"/>
      <c r="D343" s="228"/>
      <c r="E343" s="228"/>
      <c r="F343" s="228"/>
      <c r="G343" s="228"/>
      <c r="H343" s="228"/>
      <c r="L343" s="228"/>
      <c r="Q343" s="265">
        <f t="shared" si="39"/>
        <v>0</v>
      </c>
    </row>
    <row r="344" spans="1:41" ht="15.5">
      <c r="A344" s="234" t="s">
        <v>835</v>
      </c>
      <c r="B344" s="228"/>
      <c r="C344" s="228"/>
      <c r="D344" s="228"/>
      <c r="E344" s="228"/>
      <c r="F344" s="228"/>
      <c r="G344" s="228"/>
      <c r="H344" s="228"/>
      <c r="Q344" s="265">
        <f t="shared" si="39"/>
        <v>0</v>
      </c>
    </row>
    <row r="345" spans="1:41">
      <c r="A345" s="237"/>
      <c r="B345" s="238"/>
      <c r="C345" s="238"/>
      <c r="D345" s="238"/>
      <c r="E345" s="238"/>
      <c r="F345" s="238"/>
      <c r="G345" s="238"/>
      <c r="H345" s="238"/>
      <c r="Q345" s="265">
        <f t="shared" si="39"/>
        <v>0</v>
      </c>
    </row>
    <row r="346" spans="1:41">
      <c r="A346" s="242"/>
      <c r="B346" s="243" t="s">
        <v>689</v>
      </c>
      <c r="C346" s="243"/>
      <c r="D346" s="243"/>
      <c r="E346" s="243"/>
      <c r="F346" s="243"/>
      <c r="G346" s="243"/>
      <c r="H346" s="244"/>
      <c r="Q346" s="265">
        <f t="shared" si="39"/>
        <v>0</v>
      </c>
    </row>
    <row r="347" spans="1:41">
      <c r="A347" s="242"/>
      <c r="B347" s="243" t="s">
        <v>690</v>
      </c>
      <c r="C347" s="243"/>
      <c r="D347" s="485" t="s">
        <v>691</v>
      </c>
      <c r="E347" s="483"/>
      <c r="F347" s="483"/>
      <c r="G347" s="483"/>
      <c r="H347" s="250" t="s">
        <v>581</v>
      </c>
      <c r="Q347" s="265">
        <f t="shared" ref="Q347:Q410" si="44">SUM(B347,C347,D347,H347)</f>
        <v>0</v>
      </c>
    </row>
    <row r="348" spans="1:41" ht="34.5">
      <c r="A348" s="242"/>
      <c r="B348" s="251" t="s">
        <v>692</v>
      </c>
      <c r="C348" s="252" t="s">
        <v>693</v>
      </c>
      <c r="D348" s="253" t="s">
        <v>694</v>
      </c>
      <c r="E348" s="254" t="s">
        <v>8</v>
      </c>
      <c r="F348" s="251" t="s">
        <v>695</v>
      </c>
      <c r="G348" s="255" t="s">
        <v>704</v>
      </c>
      <c r="H348" s="256" t="s">
        <v>697</v>
      </c>
      <c r="Q348" s="265">
        <f t="shared" si="44"/>
        <v>0</v>
      </c>
    </row>
    <row r="349" spans="1:41" ht="15.75" customHeight="1">
      <c r="A349" s="286" t="s">
        <v>666</v>
      </c>
      <c r="B349" s="313">
        <f>('Pivot Table for Data Exchange'!$N$7)*100</f>
        <v>60.588062014511038</v>
      </c>
      <c r="C349" s="260">
        <f>('Pivot Table for Data Exchange'!$N$10)*100</f>
        <v>2.3469969325742683</v>
      </c>
      <c r="D349" s="261">
        <f>SUM(E349:G349)</f>
        <v>37.064941052914698</v>
      </c>
      <c r="E349" s="260">
        <f>('Pivot Table for Data Exchange'!$N$13)*100</f>
        <v>37.064941052914698</v>
      </c>
      <c r="F349" s="260">
        <f>('Pivot Table for Data Exchange'!$N$16)*100</f>
        <v>0</v>
      </c>
      <c r="G349" s="264">
        <f>('Pivot Table for Data Exchange'!$N$19)*100</f>
        <v>0</v>
      </c>
      <c r="H349" s="260">
        <f>('Pivot Table for Data Exchange'!$N$22)*100</f>
        <v>0</v>
      </c>
      <c r="I349" s="231"/>
      <c r="J349" s="299"/>
      <c r="K349" s="299"/>
      <c r="L349" s="299"/>
      <c r="M349" s="299"/>
      <c r="N349" s="299"/>
      <c r="O349" s="299"/>
      <c r="P349" s="299"/>
      <c r="Q349" s="265">
        <f t="shared" si="44"/>
        <v>100</v>
      </c>
      <c r="R349" s="265"/>
      <c r="S349" s="314"/>
      <c r="T349" s="314"/>
      <c r="U349" s="314"/>
      <c r="V349" s="314"/>
      <c r="W349" s="314"/>
      <c r="X349" s="314"/>
      <c r="Y349" s="314"/>
      <c r="Z349" s="314"/>
      <c r="AA349" s="314"/>
      <c r="AB349" s="314"/>
      <c r="AC349" s="314"/>
      <c r="AD349" s="314"/>
      <c r="AE349" s="314"/>
      <c r="AF349" s="314"/>
      <c r="AG349" s="314"/>
      <c r="AH349" s="314"/>
      <c r="AI349" s="314"/>
      <c r="AJ349" s="314"/>
      <c r="AK349" s="314"/>
      <c r="AL349" s="314"/>
      <c r="AM349" s="314"/>
      <c r="AN349" s="314"/>
      <c r="AO349" s="314"/>
    </row>
    <row r="350" spans="1:41" ht="15.75" customHeight="1">
      <c r="A350" s="231" t="s">
        <v>667</v>
      </c>
      <c r="B350" s="260">
        <f>('Pivot Table for Data Exchange'!$N$43)*100</f>
        <v>57.810571868079855</v>
      </c>
      <c r="C350" s="260">
        <f>('Pivot Table for Data Exchange'!$N$46)*100</f>
        <v>11.580708960900655</v>
      </c>
      <c r="D350" s="261">
        <f t="shared" ref="D350:D352" si="45">SUM(E350:G350)</f>
        <v>30.608719171019491</v>
      </c>
      <c r="E350" s="260">
        <f>('Pivot Table for Data Exchange'!$N$49)*100</f>
        <v>29.168821948374664</v>
      </c>
      <c r="F350" s="260">
        <f>('Pivot Table for Data Exchange'!$N$52)*100</f>
        <v>1.4398972226448263</v>
      </c>
      <c r="G350" s="267">
        <f>('Pivot Table for Data Exchange'!$N$55)*100</f>
        <v>0</v>
      </c>
      <c r="H350" s="269">
        <f>('Pivot Table for Data Exchange'!$N$58)*100</f>
        <v>0</v>
      </c>
      <c r="I350" s="231"/>
      <c r="J350" s="299"/>
      <c r="K350" s="299"/>
      <c r="L350" s="299"/>
      <c r="M350" s="299"/>
      <c r="N350" s="299"/>
      <c r="O350" s="299"/>
      <c r="P350" s="299"/>
      <c r="Q350" s="265">
        <f t="shared" si="44"/>
        <v>100</v>
      </c>
      <c r="R350" s="265"/>
      <c r="S350" s="314"/>
      <c r="T350" s="314"/>
      <c r="U350" s="314"/>
      <c r="V350" s="314"/>
      <c r="W350" s="314"/>
      <c r="X350" s="314"/>
      <c r="Y350" s="314"/>
      <c r="Z350" s="314"/>
      <c r="AA350" s="314"/>
      <c r="AB350" s="314"/>
      <c r="AC350" s="314"/>
      <c r="AD350" s="314"/>
      <c r="AE350" s="314"/>
      <c r="AF350" s="314"/>
      <c r="AG350" s="314"/>
      <c r="AH350" s="314"/>
      <c r="AI350" s="314"/>
      <c r="AJ350" s="314"/>
      <c r="AK350" s="314"/>
      <c r="AL350" s="314"/>
      <c r="AM350" s="314"/>
      <c r="AN350" s="314"/>
      <c r="AO350" s="314"/>
    </row>
    <row r="351" spans="1:41" ht="15.75" customHeight="1">
      <c r="A351" s="231" t="s">
        <v>668</v>
      </c>
      <c r="B351" s="260">
        <f>('Pivot Table for Data Exchange'!$N$79)*100</f>
        <v>0</v>
      </c>
      <c r="C351" s="260">
        <f>('Pivot Table for Data Exchange'!$N$82)*100</f>
        <v>0</v>
      </c>
      <c r="D351" s="261">
        <f t="shared" si="45"/>
        <v>0</v>
      </c>
      <c r="E351" s="260">
        <f>('Pivot Table for Data Exchange'!$N$85)*100</f>
        <v>0</v>
      </c>
      <c r="F351" s="260">
        <f>('Pivot Table for Data Exchange'!$N$88)*100</f>
        <v>0</v>
      </c>
      <c r="G351" s="268">
        <f>('Pivot Table for Data Exchange'!$N$91)*100</f>
        <v>0</v>
      </c>
      <c r="H351" s="260">
        <f>('Pivot Table for Data Exchange'!$N$94)*100</f>
        <v>0</v>
      </c>
      <c r="I351" s="231"/>
      <c r="J351" s="299"/>
      <c r="K351" s="299"/>
      <c r="L351" s="299"/>
      <c r="M351" s="299"/>
      <c r="N351" s="299"/>
      <c r="O351" s="299"/>
      <c r="P351" s="299"/>
      <c r="Q351" s="265">
        <f t="shared" si="44"/>
        <v>0</v>
      </c>
      <c r="R351" s="265"/>
      <c r="S351" s="314"/>
      <c r="T351" s="318"/>
      <c r="U351" s="314"/>
      <c r="V351" s="314"/>
      <c r="W351" s="314"/>
      <c r="X351" s="314"/>
      <c r="Y351" s="314"/>
      <c r="Z351" s="314"/>
      <c r="AA351" s="314"/>
      <c r="AB351" s="314"/>
      <c r="AC351" s="314"/>
      <c r="AD351" s="314"/>
      <c r="AE351" s="314"/>
      <c r="AF351" s="314"/>
      <c r="AG351" s="314"/>
      <c r="AH351" s="314"/>
      <c r="AI351" s="314"/>
      <c r="AJ351" s="314"/>
      <c r="AK351" s="314"/>
      <c r="AL351" s="314"/>
      <c r="AM351" s="314"/>
      <c r="AN351" s="314"/>
      <c r="AO351" s="314"/>
    </row>
    <row r="352" spans="1:41" ht="15.75" customHeight="1">
      <c r="A352" s="231" t="s">
        <v>705</v>
      </c>
      <c r="B352" s="260">
        <f>('Pivot Table for Data Exchange'!$N$115)*100</f>
        <v>61.529893212582031</v>
      </c>
      <c r="C352" s="260">
        <f>('Pivot Table for Data Exchange'!$N$118)*100</f>
        <v>2.339152965106424</v>
      </c>
      <c r="D352" s="261">
        <f t="shared" si="45"/>
        <v>36.130953822311547</v>
      </c>
      <c r="E352" s="260">
        <f>('Pivot Table for Data Exchange'!$N$121)*100</f>
        <v>36.130953822311547</v>
      </c>
      <c r="F352" s="260">
        <f>('Pivot Table for Data Exchange'!$N$124)*100</f>
        <v>0</v>
      </c>
      <c r="G352" s="268">
        <f>('Pivot Table for Data Exchange'!$N$127)*100</f>
        <v>0</v>
      </c>
      <c r="H352" s="260">
        <f>('Pivot Table for Data Exchange'!$N$130)*100</f>
        <v>0</v>
      </c>
      <c r="I352" s="231"/>
      <c r="J352" s="299"/>
      <c r="K352" s="299"/>
      <c r="L352" s="299"/>
      <c r="M352" s="299"/>
      <c r="N352" s="299"/>
      <c r="O352" s="299"/>
      <c r="P352" s="299"/>
      <c r="Q352" s="265">
        <f t="shared" si="44"/>
        <v>100</v>
      </c>
      <c r="R352" s="265"/>
      <c r="S352" s="314"/>
      <c r="U352" s="314"/>
      <c r="V352" s="314"/>
      <c r="W352" s="314"/>
      <c r="X352" s="314"/>
      <c r="Y352" s="314"/>
      <c r="Z352" s="314"/>
      <c r="AA352" s="314"/>
      <c r="AB352" s="314"/>
      <c r="AC352" s="314"/>
      <c r="AD352" s="314"/>
      <c r="AE352" s="314"/>
      <c r="AF352" s="314"/>
      <c r="AG352" s="314"/>
      <c r="AH352" s="314"/>
      <c r="AI352" s="314"/>
      <c r="AJ352" s="314"/>
      <c r="AK352" s="314"/>
      <c r="AL352" s="314"/>
      <c r="AM352" s="314"/>
      <c r="AN352" s="314"/>
      <c r="AO352" s="314"/>
    </row>
    <row r="353" spans="1:41" ht="15.75" customHeight="1">
      <c r="B353" s="260"/>
      <c r="C353" s="260"/>
      <c r="D353" s="261"/>
      <c r="E353" s="260"/>
      <c r="F353" s="260"/>
      <c r="G353" s="268"/>
      <c r="H353" s="260"/>
      <c r="I353" s="231"/>
      <c r="J353" s="299"/>
      <c r="K353" s="299"/>
      <c r="L353" s="299"/>
      <c r="M353" s="299"/>
      <c r="N353" s="299"/>
      <c r="O353" s="299"/>
      <c r="P353" s="299"/>
      <c r="Q353" s="265">
        <f t="shared" si="44"/>
        <v>0</v>
      </c>
      <c r="R353" s="265"/>
      <c r="S353" s="314"/>
      <c r="U353" s="314"/>
      <c r="V353" s="314"/>
      <c r="W353" s="314"/>
      <c r="X353" s="314"/>
      <c r="Y353" s="314"/>
      <c r="Z353" s="314"/>
      <c r="AA353" s="314"/>
      <c r="AB353" s="314"/>
      <c r="AC353" s="314"/>
      <c r="AD353" s="314"/>
      <c r="AE353" s="314"/>
      <c r="AF353" s="314"/>
      <c r="AG353" s="314"/>
      <c r="AH353" s="314"/>
      <c r="AI353" s="314"/>
      <c r="AJ353" s="314"/>
      <c r="AK353" s="314"/>
      <c r="AL353" s="314"/>
      <c r="AM353" s="314"/>
      <c r="AN353" s="314"/>
      <c r="AO353" s="314"/>
    </row>
    <row r="354" spans="1:41" ht="15.75" customHeight="1">
      <c r="A354" s="231" t="s">
        <v>670</v>
      </c>
      <c r="B354" s="260">
        <f>('Pivot Table for Data Exchange'!$N$151)*100</f>
        <v>0</v>
      </c>
      <c r="C354" s="260">
        <f>('Pivot Table for Data Exchange'!$N$154)*100</f>
        <v>0</v>
      </c>
      <c r="D354" s="261">
        <f t="shared" ref="D354:D355" si="46">SUM(E354:G354)</f>
        <v>0</v>
      </c>
      <c r="E354" s="260">
        <f>('Pivot Table for Data Exchange'!$N$157)*100</f>
        <v>0</v>
      </c>
      <c r="F354" s="260">
        <f>('Pivot Table for Data Exchange'!$N$160)*100</f>
        <v>0</v>
      </c>
      <c r="G354" s="268">
        <f>('Pivot Table for Data Exchange'!$N$163)*100</f>
        <v>0</v>
      </c>
      <c r="H354" s="260">
        <f>('Pivot Table for Data Exchange'!$N$166)*100</f>
        <v>0</v>
      </c>
      <c r="I354" s="231"/>
      <c r="J354" s="299"/>
      <c r="K354" s="299"/>
      <c r="L354" s="299"/>
      <c r="M354" s="299"/>
      <c r="N354" s="299"/>
      <c r="O354" s="299"/>
      <c r="P354" s="299"/>
      <c r="Q354" s="265">
        <f t="shared" si="44"/>
        <v>0</v>
      </c>
      <c r="R354" s="265"/>
      <c r="S354" s="314"/>
      <c r="T354" s="314"/>
      <c r="U354" s="314"/>
      <c r="V354" s="314"/>
      <c r="W354" s="314"/>
      <c r="X354" s="314"/>
      <c r="Y354" s="314"/>
      <c r="Z354" s="314"/>
      <c r="AA354" s="314"/>
      <c r="AB354" s="314"/>
      <c r="AC354" s="314"/>
      <c r="AD354" s="314"/>
      <c r="AE354" s="314"/>
      <c r="AF354" s="314"/>
      <c r="AG354" s="314"/>
      <c r="AH354" s="314"/>
      <c r="AI354" s="314"/>
      <c r="AJ354" s="314"/>
      <c r="AK354" s="314"/>
      <c r="AL354" s="314"/>
      <c r="AM354" s="314"/>
      <c r="AN354" s="314"/>
      <c r="AO354" s="314"/>
    </row>
    <row r="355" spans="1:41" ht="15.75" customHeight="1">
      <c r="A355" s="231" t="s">
        <v>671</v>
      </c>
      <c r="B355" s="260">
        <f>('Pivot Table for Data Exchange'!$N$187)*100</f>
        <v>44.681271616960593</v>
      </c>
      <c r="C355" s="260">
        <f>('Pivot Table for Data Exchange'!$N$190)*100</f>
        <v>5.4295272328402175</v>
      </c>
      <c r="D355" s="261">
        <f t="shared" si="46"/>
        <v>49.889201150199177</v>
      </c>
      <c r="E355" s="260">
        <f>('Pivot Table for Data Exchange'!$N$193)*100</f>
        <v>49.889201150199177</v>
      </c>
      <c r="F355" s="260">
        <f>('Pivot Table for Data Exchange'!$N$196)*100</f>
        <v>0</v>
      </c>
      <c r="G355" s="268">
        <f>('Pivot Table for Data Exchange'!$N$199)*100</f>
        <v>0</v>
      </c>
      <c r="H355" s="260">
        <f>('Pivot Table for Data Exchange'!$N$202)*100</f>
        <v>0</v>
      </c>
      <c r="I355" s="231"/>
      <c r="J355" s="299"/>
      <c r="K355" s="299"/>
      <c r="L355" s="299"/>
      <c r="M355" s="299"/>
      <c r="N355" s="299"/>
      <c r="O355" s="299"/>
      <c r="P355" s="299"/>
      <c r="Q355" s="265">
        <f t="shared" si="44"/>
        <v>99.999999999999986</v>
      </c>
      <c r="R355" s="265"/>
      <c r="S355" s="314"/>
      <c r="T355" s="314"/>
      <c r="U355" s="314"/>
      <c r="V355" s="314"/>
      <c r="W355" s="314"/>
      <c r="X355" s="314"/>
      <c r="Y355" s="314"/>
      <c r="Z355" s="314"/>
      <c r="AA355" s="314"/>
      <c r="AB355" s="314"/>
      <c r="AC355" s="314"/>
      <c r="AD355" s="314"/>
      <c r="AE355" s="314"/>
      <c r="AF355" s="314"/>
      <c r="AG355" s="314"/>
      <c r="AH355" s="314"/>
      <c r="AI355" s="314"/>
      <c r="AJ355" s="314"/>
      <c r="AK355" s="314"/>
      <c r="AL355" s="314"/>
      <c r="AM355" s="314"/>
      <c r="AN355" s="314"/>
      <c r="AO355" s="314"/>
    </row>
    <row r="356" spans="1:41" ht="15.75" customHeight="1">
      <c r="A356" s="231" t="s">
        <v>672</v>
      </c>
      <c r="B356" s="260">
        <f>('Pivot Table for Data Exchange'!$N$223)*100</f>
        <v>71.289192199535407</v>
      </c>
      <c r="C356" s="260">
        <f>('Pivot Table for Data Exchange'!$N$226)*100</f>
        <v>0</v>
      </c>
      <c r="D356" s="261">
        <f>SUM(E356:G356)</f>
        <v>28.710807800464604</v>
      </c>
      <c r="E356" s="260">
        <f>('Pivot Table for Data Exchange'!$N$229)*100</f>
        <v>28.710807800464604</v>
      </c>
      <c r="F356" s="260">
        <f>('Pivot Table for Data Exchange'!$N$232)*100</f>
        <v>0</v>
      </c>
      <c r="G356" s="268">
        <f>('Pivot Table for Data Exchange'!$N$235)*100</f>
        <v>0</v>
      </c>
      <c r="H356" s="260">
        <f>('Pivot Table for Data Exchange'!$N$238)*100</f>
        <v>0</v>
      </c>
      <c r="I356" s="231"/>
      <c r="J356" s="299"/>
      <c r="K356" s="299"/>
      <c r="L356" s="299"/>
      <c r="M356" s="299"/>
      <c r="N356" s="299"/>
      <c r="O356" s="299"/>
      <c r="P356" s="299"/>
      <c r="Q356" s="265">
        <f t="shared" si="44"/>
        <v>100.00000000000001</v>
      </c>
      <c r="R356" s="265"/>
      <c r="S356" s="314"/>
      <c r="T356" s="318"/>
      <c r="U356" s="314"/>
      <c r="V356" s="314"/>
      <c r="W356" s="314"/>
      <c r="X356" s="314"/>
      <c r="Y356" s="314"/>
      <c r="Z356" s="314"/>
      <c r="AA356" s="314"/>
      <c r="AB356" s="314"/>
      <c r="AC356" s="314"/>
      <c r="AD356" s="314"/>
      <c r="AE356" s="314"/>
      <c r="AF356" s="314"/>
      <c r="AG356" s="314"/>
      <c r="AH356" s="314"/>
      <c r="AI356" s="314"/>
      <c r="AJ356" s="314"/>
      <c r="AK356" s="314"/>
      <c r="AL356" s="314"/>
      <c r="AM356" s="314"/>
      <c r="AN356" s="314"/>
      <c r="AO356" s="314"/>
    </row>
    <row r="357" spans="1:41" ht="15.75" customHeight="1">
      <c r="A357" s="231" t="s">
        <v>673</v>
      </c>
      <c r="B357" s="260">
        <f>('Pivot Table for Data Exchange'!$N$259)*100</f>
        <v>61.652095266807358</v>
      </c>
      <c r="C357" s="260">
        <f>('Pivot Table for Data Exchange'!$N$262)*100</f>
        <v>11.310465528879119</v>
      </c>
      <c r="D357" s="261">
        <f>SUM(E357:G357)</f>
        <v>27.037439204313525</v>
      </c>
      <c r="E357" s="260">
        <f>('Pivot Table for Data Exchange'!$N$265)*100</f>
        <v>26.237590743314808</v>
      </c>
      <c r="F357" s="260">
        <f>('Pivot Table for Data Exchange'!$N$268)*100</f>
        <v>0.79984846099871665</v>
      </c>
      <c r="G357" s="268">
        <f>('Pivot Table for Data Exchange'!$N$271)*100</f>
        <v>0</v>
      </c>
      <c r="H357" s="260">
        <f>('Pivot Table for Data Exchange'!$N$274)*100</f>
        <v>0</v>
      </c>
      <c r="I357" s="231"/>
      <c r="J357" s="299"/>
      <c r="K357" s="299"/>
      <c r="L357" s="299"/>
      <c r="M357" s="299"/>
      <c r="N357" s="299"/>
      <c r="O357" s="299"/>
      <c r="P357" s="299"/>
      <c r="Q357" s="265">
        <f t="shared" si="44"/>
        <v>100</v>
      </c>
      <c r="R357" s="265"/>
      <c r="S357" s="314"/>
      <c r="U357" s="314"/>
      <c r="V357" s="314"/>
      <c r="W357" s="314"/>
      <c r="X357" s="314"/>
      <c r="Y357" s="314"/>
      <c r="Z357" s="314"/>
      <c r="AA357" s="314"/>
      <c r="AB357" s="314"/>
      <c r="AC357" s="314"/>
      <c r="AD357" s="314"/>
      <c r="AE357" s="314"/>
      <c r="AF357" s="314"/>
      <c r="AG357" s="314"/>
      <c r="AH357" s="314"/>
      <c r="AI357" s="314"/>
      <c r="AJ357" s="314"/>
      <c r="AK357" s="314"/>
      <c r="AL357" s="314"/>
      <c r="AM357" s="314"/>
      <c r="AN357" s="314"/>
      <c r="AO357" s="314"/>
    </row>
    <row r="358" spans="1:41" ht="12.75" customHeight="1">
      <c r="B358" s="260"/>
      <c r="C358" s="260"/>
      <c r="D358" s="261"/>
      <c r="E358" s="260"/>
      <c r="F358" s="260"/>
      <c r="G358" s="268"/>
      <c r="H358" s="260"/>
      <c r="I358" s="231"/>
      <c r="J358" s="299"/>
      <c r="K358" s="299"/>
      <c r="L358" s="299"/>
      <c r="M358" s="299"/>
      <c r="N358" s="299"/>
      <c r="O358" s="299"/>
      <c r="P358" s="299"/>
      <c r="Q358" s="265">
        <f t="shared" si="44"/>
        <v>0</v>
      </c>
      <c r="R358" s="265"/>
      <c r="S358" s="314"/>
      <c r="U358" s="314"/>
      <c r="V358" s="314"/>
      <c r="W358" s="314"/>
      <c r="X358" s="314"/>
      <c r="Y358" s="314"/>
      <c r="Z358" s="314"/>
      <c r="AA358" s="314"/>
      <c r="AB358" s="314"/>
      <c r="AC358" s="314"/>
      <c r="AD358" s="314"/>
      <c r="AE358" s="314"/>
      <c r="AF358" s="314"/>
      <c r="AG358" s="314"/>
      <c r="AH358" s="314"/>
      <c r="AI358" s="314"/>
      <c r="AJ358" s="314"/>
      <c r="AK358" s="314"/>
      <c r="AL358" s="314"/>
      <c r="AM358" s="314"/>
      <c r="AN358" s="314"/>
      <c r="AO358" s="314"/>
    </row>
    <row r="359" spans="1:41" ht="15.75" customHeight="1">
      <c r="A359" s="231" t="s">
        <v>720</v>
      </c>
      <c r="B359" s="260">
        <f>('Pivot Table for Data Exchange'!$N$295)*100</f>
        <v>99.31589905507127</v>
      </c>
      <c r="C359" s="260">
        <f>('Pivot Table for Data Exchange'!$N$298)*100</f>
        <v>0.68410094492872997</v>
      </c>
      <c r="D359" s="261">
        <f>SUM(E359:G359)</f>
        <v>0</v>
      </c>
      <c r="E359" s="260">
        <f>('Pivot Table for Data Exchange'!$N$301)*100</f>
        <v>0</v>
      </c>
      <c r="F359" s="260">
        <f>('Pivot Table for Data Exchange'!$N$304)*100</f>
        <v>0</v>
      </c>
      <c r="G359" s="268">
        <f>('Pivot Table for Data Exchange'!$N$307)*100</f>
        <v>0</v>
      </c>
      <c r="H359" s="260">
        <f>('Pivot Table for Data Exchange'!$N$310)*100</f>
        <v>0</v>
      </c>
      <c r="I359" s="306"/>
      <c r="J359" s="299"/>
      <c r="K359" s="299"/>
      <c r="L359" s="299"/>
      <c r="M359" s="299"/>
      <c r="N359" s="299"/>
      <c r="O359" s="299"/>
      <c r="P359" s="299"/>
      <c r="Q359" s="265">
        <f t="shared" si="44"/>
        <v>100</v>
      </c>
      <c r="R359" s="265"/>
      <c r="S359" s="314"/>
      <c r="T359" s="314"/>
      <c r="U359" s="314"/>
      <c r="V359" s="314"/>
      <c r="W359" s="314"/>
      <c r="X359" s="314"/>
      <c r="Y359" s="314"/>
      <c r="Z359" s="314"/>
      <c r="AA359" s="314"/>
      <c r="AB359" s="314"/>
      <c r="AC359" s="314"/>
      <c r="AD359" s="314"/>
      <c r="AE359" s="314"/>
      <c r="AF359" s="314"/>
      <c r="AG359" s="314"/>
      <c r="AH359" s="314"/>
      <c r="AI359" s="314"/>
      <c r="AJ359" s="314"/>
      <c r="AK359" s="314"/>
      <c r="AL359" s="314"/>
      <c r="AM359" s="314"/>
      <c r="AN359" s="314"/>
      <c r="AO359" s="314"/>
    </row>
    <row r="360" spans="1:41" ht="15.75" customHeight="1">
      <c r="A360" s="231" t="s">
        <v>675</v>
      </c>
      <c r="B360" s="260">
        <f>('Pivot Table for Data Exchange'!$N$331)*100</f>
        <v>44.539167718071774</v>
      </c>
      <c r="C360" s="260">
        <f>('Pivot Table for Data Exchange'!$N$334)*100</f>
        <v>5.0208897453624637</v>
      </c>
      <c r="D360" s="261">
        <f>SUM(E360:G360)</f>
        <v>50.439942536565766</v>
      </c>
      <c r="E360" s="260">
        <f>('Pivot Table for Data Exchange'!$N$337)*100</f>
        <v>50.057824640203997</v>
      </c>
      <c r="F360" s="260">
        <f>('Pivot Table for Data Exchange'!$N$340)*100</f>
        <v>0.38211789636176874</v>
      </c>
      <c r="G360" s="268">
        <f>('Pivot Table for Data Exchange'!$N$343)*100</f>
        <v>0</v>
      </c>
      <c r="H360" s="260">
        <f>('Pivot Table for Data Exchange'!$N$346)*100</f>
        <v>0</v>
      </c>
      <c r="I360" s="231"/>
      <c r="J360" s="299"/>
      <c r="K360" s="299"/>
      <c r="L360" s="299"/>
      <c r="M360" s="299"/>
      <c r="N360" s="299"/>
      <c r="O360" s="299"/>
      <c r="P360" s="299"/>
      <c r="Q360" s="265">
        <f t="shared" si="44"/>
        <v>100</v>
      </c>
      <c r="R360" s="265"/>
      <c r="S360" s="314"/>
      <c r="T360" s="314"/>
      <c r="U360" s="314"/>
      <c r="V360" s="314"/>
      <c r="W360" s="314"/>
      <c r="X360" s="314"/>
      <c r="Y360" s="314"/>
      <c r="Z360" s="314"/>
      <c r="AA360" s="314"/>
      <c r="AB360" s="314"/>
      <c r="AC360" s="314"/>
      <c r="AD360" s="314"/>
      <c r="AE360" s="314"/>
      <c r="AF360" s="314"/>
      <c r="AG360" s="314"/>
      <c r="AH360" s="314"/>
      <c r="AI360" s="314"/>
      <c r="AJ360" s="314"/>
      <c r="AK360" s="314"/>
      <c r="AL360" s="314"/>
      <c r="AM360" s="314"/>
      <c r="AN360" s="314"/>
      <c r="AO360" s="314"/>
    </row>
    <row r="361" spans="1:41" ht="15.75" customHeight="1">
      <c r="A361" s="231" t="s">
        <v>676</v>
      </c>
      <c r="B361" s="260">
        <f>('Pivot Table for Data Exchange'!$N$367)*100</f>
        <v>62.868265601462404</v>
      </c>
      <c r="C361" s="260">
        <f>('Pivot Table for Data Exchange'!$N$370)*100</f>
        <v>2.8117330444643795</v>
      </c>
      <c r="D361" s="261">
        <f>SUM(E361:G361)</f>
        <v>34.320001354073227</v>
      </c>
      <c r="E361" s="260">
        <f>('Pivot Table for Data Exchange'!$N$373)*100</f>
        <v>29.959547062507408</v>
      </c>
      <c r="F361" s="260">
        <f>('Pivot Table for Data Exchange'!$N$376)*100</f>
        <v>4.2423114029891167</v>
      </c>
      <c r="G361" s="267">
        <f>('Pivot Table for Data Exchange'!$N$379)*100</f>
        <v>0.1181428885766998</v>
      </c>
      <c r="H361" s="260">
        <f>('Pivot Table for Data Exchange'!$N$382)*100</f>
        <v>0</v>
      </c>
      <c r="I361" s="231"/>
      <c r="J361" s="299"/>
      <c r="K361" s="299"/>
      <c r="L361" s="299"/>
      <c r="M361" s="299"/>
      <c r="N361" s="299"/>
      <c r="O361" s="299"/>
      <c r="P361" s="299"/>
      <c r="Q361" s="265">
        <f t="shared" si="44"/>
        <v>100.00000000000001</v>
      </c>
      <c r="R361" s="265"/>
      <c r="S361" s="314"/>
      <c r="T361" s="318"/>
      <c r="U361" s="314"/>
      <c r="V361" s="314"/>
      <c r="W361" s="314"/>
      <c r="X361" s="314"/>
      <c r="Y361" s="314"/>
      <c r="Z361" s="314"/>
      <c r="AA361" s="314"/>
      <c r="AB361" s="314"/>
      <c r="AC361" s="314"/>
      <c r="AD361" s="314"/>
      <c r="AE361" s="314"/>
      <c r="AF361" s="314"/>
      <c r="AG361" s="314"/>
      <c r="AH361" s="314"/>
      <c r="AI361" s="314"/>
      <c r="AJ361" s="314"/>
      <c r="AK361" s="314"/>
      <c r="AL361" s="314"/>
      <c r="AM361" s="314"/>
      <c r="AN361" s="314"/>
      <c r="AO361" s="314"/>
    </row>
    <row r="362" spans="1:41" ht="15.75" customHeight="1">
      <c r="A362" s="231" t="s">
        <v>677</v>
      </c>
      <c r="B362" s="260">
        <f>('Pivot Table for Data Exchange'!$N$403)*100</f>
        <v>57.299097338322767</v>
      </c>
      <c r="C362" s="260">
        <f>('Pivot Table for Data Exchange'!$N$406)*100</f>
        <v>12.431261853606051</v>
      </c>
      <c r="D362" s="261">
        <f>SUM(E362:G362)</f>
        <v>30.269640808071177</v>
      </c>
      <c r="E362" s="260">
        <f>('Pivot Table for Data Exchange'!$N$409)*100</f>
        <v>27.725095084222318</v>
      </c>
      <c r="F362" s="260">
        <f>('Pivot Table for Data Exchange'!$N$412)*100</f>
        <v>0.85090589641352876</v>
      </c>
      <c r="G362" s="268">
        <f>('Pivot Table for Data Exchange'!$N$415)*100</f>
        <v>1.693639827435331</v>
      </c>
      <c r="H362" s="260">
        <f>('Pivot Table for Data Exchange'!$N$418)*100</f>
        <v>0</v>
      </c>
      <c r="I362" s="231"/>
      <c r="J362" s="299"/>
      <c r="K362" s="299"/>
      <c r="L362" s="299"/>
      <c r="M362" s="299"/>
      <c r="N362" s="299"/>
      <c r="O362" s="299"/>
      <c r="P362" s="299"/>
      <c r="Q362" s="265">
        <f t="shared" si="44"/>
        <v>99.999999999999986</v>
      </c>
      <c r="R362" s="265"/>
      <c r="S362" s="314"/>
      <c r="T362" s="314"/>
      <c r="U362" s="314"/>
      <c r="V362" s="314"/>
      <c r="W362" s="314"/>
      <c r="X362" s="314"/>
      <c r="Y362" s="314"/>
      <c r="Z362" s="314"/>
      <c r="AA362" s="314"/>
      <c r="AB362" s="314"/>
      <c r="AC362" s="314"/>
      <c r="AD362" s="314"/>
      <c r="AE362" s="314"/>
      <c r="AF362" s="314"/>
      <c r="AG362" s="314"/>
      <c r="AH362" s="314"/>
      <c r="AI362" s="314"/>
      <c r="AJ362" s="314"/>
      <c r="AK362" s="314"/>
      <c r="AL362" s="314"/>
      <c r="AM362" s="314"/>
      <c r="AN362" s="314"/>
      <c r="AO362" s="314"/>
    </row>
    <row r="363" spans="1:41" ht="12" customHeight="1">
      <c r="B363" s="260"/>
      <c r="C363" s="260"/>
      <c r="D363" s="261"/>
      <c r="E363" s="260"/>
      <c r="F363" s="260"/>
      <c r="G363" s="268"/>
      <c r="H363" s="260"/>
      <c r="I363" s="231"/>
      <c r="J363" s="299"/>
      <c r="K363" s="299"/>
      <c r="L363" s="299"/>
      <c r="M363" s="299"/>
      <c r="N363" s="299"/>
      <c r="O363" s="299"/>
      <c r="P363" s="299"/>
      <c r="Q363" s="265">
        <f t="shared" si="44"/>
        <v>0</v>
      </c>
      <c r="R363" s="265"/>
      <c r="S363" s="314"/>
      <c r="T363" s="314"/>
      <c r="U363" s="314"/>
      <c r="V363" s="314"/>
      <c r="W363" s="314"/>
      <c r="X363" s="314"/>
      <c r="Y363" s="314"/>
      <c r="Z363" s="314"/>
      <c r="AA363" s="314"/>
      <c r="AB363" s="314"/>
      <c r="AC363" s="314"/>
      <c r="AD363" s="314"/>
      <c r="AE363" s="314"/>
      <c r="AF363" s="314"/>
      <c r="AG363" s="314"/>
      <c r="AH363" s="314"/>
      <c r="AI363" s="314"/>
      <c r="AJ363" s="314"/>
      <c r="AK363" s="314"/>
      <c r="AL363" s="314"/>
      <c r="AM363" s="314"/>
      <c r="AN363" s="314"/>
      <c r="AO363" s="314"/>
    </row>
    <row r="364" spans="1:41" ht="15.75" customHeight="1">
      <c r="A364" s="231" t="s">
        <v>678</v>
      </c>
      <c r="B364" s="260">
        <f>('Pivot Table for Data Exchange'!$N$439)*100</f>
        <v>30.907537497626731</v>
      </c>
      <c r="C364" s="260">
        <f>('Pivot Table for Data Exchange'!$N$442)*100</f>
        <v>36.797038162141639</v>
      </c>
      <c r="D364" s="261">
        <f>SUM(E364:G364)</f>
        <v>31.877729257641924</v>
      </c>
      <c r="E364" s="260">
        <f>('Pivot Table for Data Exchange'!$N$445)*100</f>
        <v>24.108600721473326</v>
      </c>
      <c r="F364" s="260">
        <f>('Pivot Table for Data Exchange'!$N$448)*100</f>
        <v>6.4287070438579841</v>
      </c>
      <c r="G364" s="268">
        <f>('Pivot Table for Data Exchange'!$N$451)*100</f>
        <v>1.3404214923106132</v>
      </c>
      <c r="H364" s="260">
        <f>('Pivot Table for Data Exchange'!$N$454)*100</f>
        <v>0.4176950825897095</v>
      </c>
      <c r="I364" s="231"/>
      <c r="J364" s="299"/>
      <c r="K364" s="299"/>
      <c r="L364" s="299"/>
      <c r="M364" s="299"/>
      <c r="N364" s="299"/>
      <c r="O364" s="299"/>
      <c r="P364" s="299"/>
      <c r="Q364" s="265">
        <f t="shared" si="44"/>
        <v>100</v>
      </c>
      <c r="R364" s="265"/>
      <c r="S364" s="314"/>
      <c r="T364" s="314"/>
      <c r="U364" s="314"/>
      <c r="V364" s="314"/>
      <c r="W364" s="314"/>
      <c r="X364" s="314"/>
      <c r="Y364" s="314"/>
      <c r="Z364" s="314"/>
      <c r="AA364" s="314"/>
      <c r="AB364" s="314"/>
      <c r="AC364" s="314"/>
      <c r="AD364" s="314"/>
      <c r="AE364" s="314"/>
      <c r="AF364" s="314"/>
      <c r="AG364" s="314"/>
      <c r="AH364" s="314"/>
      <c r="AI364" s="314"/>
      <c r="AJ364" s="314"/>
      <c r="AK364" s="314"/>
      <c r="AL364" s="314"/>
      <c r="AM364" s="314"/>
      <c r="AN364" s="314"/>
      <c r="AO364" s="314"/>
    </row>
    <row r="365" spans="1:41" ht="15.75" customHeight="1">
      <c r="A365" s="231" t="s">
        <v>679</v>
      </c>
      <c r="B365" s="260">
        <f>('Pivot Table for Data Exchange'!$N$475)*100</f>
        <v>0</v>
      </c>
      <c r="C365" s="260">
        <f>('Pivot Table for Data Exchange'!$N$478)*100</f>
        <v>0</v>
      </c>
      <c r="D365" s="261">
        <f>SUM(E365:G365)</f>
        <v>0</v>
      </c>
      <c r="E365" s="260">
        <f>('Pivot Table for Data Exchange'!$N$481)*100</f>
        <v>0</v>
      </c>
      <c r="F365" s="260">
        <f>('Pivot Table for Data Exchange'!$N$484)*100</f>
        <v>0</v>
      </c>
      <c r="G365" s="268">
        <f>('Pivot Table for Data Exchange'!$N$487)*100</f>
        <v>0</v>
      </c>
      <c r="H365" s="260">
        <f>('Pivot Table for Data Exchange'!$N$490)*100</f>
        <v>0</v>
      </c>
      <c r="I365" s="231"/>
      <c r="J365" s="299"/>
      <c r="K365" s="299"/>
      <c r="L365" s="299"/>
      <c r="M365" s="299"/>
      <c r="N365" s="299"/>
      <c r="O365" s="299"/>
      <c r="P365" s="299"/>
      <c r="Q365" s="265">
        <f t="shared" si="44"/>
        <v>0</v>
      </c>
      <c r="R365" s="265"/>
      <c r="S365" s="314"/>
      <c r="T365" s="314"/>
      <c r="U365" s="314"/>
      <c r="V365" s="314"/>
      <c r="W365" s="314"/>
      <c r="X365" s="314"/>
      <c r="Y365" s="314"/>
      <c r="Z365" s="314"/>
      <c r="AA365" s="314"/>
      <c r="AB365" s="314"/>
      <c r="AC365" s="314"/>
      <c r="AD365" s="314"/>
      <c r="AE365" s="314"/>
      <c r="AF365" s="314"/>
      <c r="AG365" s="314"/>
      <c r="AH365" s="314"/>
      <c r="AI365" s="314"/>
      <c r="AJ365" s="314"/>
      <c r="AK365" s="314"/>
      <c r="AL365" s="314"/>
      <c r="AM365" s="314"/>
      <c r="AN365" s="314"/>
      <c r="AO365" s="314"/>
    </row>
    <row r="366" spans="1:41" ht="15.75" customHeight="1">
      <c r="A366" s="231" t="s">
        <v>680</v>
      </c>
      <c r="B366" s="260">
        <f>('Pivot Table for Data Exchange'!$N$511)*100</f>
        <v>36.776303851182526</v>
      </c>
      <c r="C366" s="260">
        <f>('Pivot Table for Data Exchange'!$N$514)*100</f>
        <v>23.405111645674456</v>
      </c>
      <c r="D366" s="261">
        <f>SUM(E366:G366)</f>
        <v>39.818584503143022</v>
      </c>
      <c r="E366" s="260">
        <f>('Pivot Table for Data Exchange'!$N$517)*100</f>
        <v>33.696567575993043</v>
      </c>
      <c r="F366" s="260">
        <f>('Pivot Table for Data Exchange'!$N$520)*100</f>
        <v>6.1220169271499758</v>
      </c>
      <c r="G366" s="268">
        <f>('Pivot Table for Data Exchange'!$N$523)*100</f>
        <v>0</v>
      </c>
      <c r="H366" s="260">
        <f>('Pivot Table for Data Exchange'!$N$526)*100</f>
        <v>0</v>
      </c>
      <c r="I366" s="231"/>
      <c r="J366" s="299"/>
      <c r="K366" s="299"/>
      <c r="L366" s="299"/>
      <c r="M366" s="299"/>
      <c r="N366" s="299"/>
      <c r="O366" s="299"/>
      <c r="P366" s="299"/>
      <c r="Q366" s="265">
        <f t="shared" si="44"/>
        <v>100</v>
      </c>
      <c r="R366" s="265"/>
      <c r="S366" s="314"/>
      <c r="T366" s="314"/>
      <c r="U366" s="314"/>
      <c r="V366" s="314"/>
      <c r="W366" s="314"/>
      <c r="X366" s="314"/>
      <c r="Y366" s="314"/>
      <c r="Z366" s="314"/>
      <c r="AA366" s="314"/>
      <c r="AB366" s="314"/>
      <c r="AC366" s="314"/>
      <c r="AD366" s="314"/>
      <c r="AE366" s="314"/>
      <c r="AF366" s="314"/>
      <c r="AG366" s="314"/>
      <c r="AH366" s="314"/>
      <c r="AI366" s="314"/>
      <c r="AJ366" s="314"/>
      <c r="AK366" s="314"/>
      <c r="AL366" s="314"/>
      <c r="AM366" s="314"/>
      <c r="AN366" s="314"/>
      <c r="AO366" s="314"/>
    </row>
    <row r="367" spans="1:41" ht="15.75" customHeight="1">
      <c r="A367" s="237" t="s">
        <v>681</v>
      </c>
      <c r="B367" s="273">
        <f>('Pivot Table for Data Exchange'!$N$547)*100</f>
        <v>51.645183254678216</v>
      </c>
      <c r="C367" s="273">
        <f>('Pivot Table for Data Exchange'!$N$550)*100</f>
        <v>13.435232795661056</v>
      </c>
      <c r="D367" s="274">
        <f>SUM(E367:G367)</f>
        <v>34.919583949660719</v>
      </c>
      <c r="E367" s="273">
        <f>('Pivot Table for Data Exchange'!$N$553)*100</f>
        <v>32.906482590218587</v>
      </c>
      <c r="F367" s="273">
        <f>('Pivot Table for Data Exchange'!$N$556)*100</f>
        <v>2.0131013594421354</v>
      </c>
      <c r="G367" s="275">
        <f>('Pivot Table for Data Exchange'!$N$559)*100</f>
        <v>0</v>
      </c>
      <c r="H367" s="273">
        <f>('Pivot Table for Data Exchange'!$N$562)*100</f>
        <v>0</v>
      </c>
      <c r="I367" s="231"/>
      <c r="J367" s="299"/>
      <c r="K367" s="299"/>
      <c r="L367" s="299"/>
      <c r="M367" s="299"/>
      <c r="N367" s="299"/>
      <c r="O367" s="299"/>
      <c r="P367" s="299"/>
      <c r="Q367" s="265">
        <f t="shared" si="44"/>
        <v>99.999999999999986</v>
      </c>
      <c r="R367" s="265"/>
      <c r="S367" s="314"/>
      <c r="T367" s="314"/>
      <c r="U367" s="314"/>
      <c r="V367" s="314"/>
      <c r="W367" s="314"/>
      <c r="X367" s="314"/>
      <c r="Y367" s="314"/>
      <c r="Z367" s="314"/>
      <c r="AA367" s="314"/>
      <c r="AB367" s="314"/>
      <c r="AC367" s="314"/>
      <c r="AD367" s="314"/>
      <c r="AE367" s="314"/>
      <c r="AF367" s="314"/>
      <c r="AG367" s="314"/>
      <c r="AH367" s="314"/>
      <c r="AI367" s="314"/>
      <c r="AJ367" s="314"/>
      <c r="AK367" s="314"/>
      <c r="AL367" s="314"/>
      <c r="AM367" s="314"/>
      <c r="AN367" s="314"/>
      <c r="AO367" s="314"/>
    </row>
    <row r="368" spans="1:41" s="304" customFormat="1" ht="12" customHeight="1">
      <c r="A368" s="279" t="s">
        <v>706</v>
      </c>
      <c r="B368" s="280"/>
      <c r="C368" s="280"/>
      <c r="D368" s="281"/>
      <c r="E368" s="280"/>
      <c r="F368" s="281"/>
      <c r="G368" s="281"/>
      <c r="H368" s="280"/>
      <c r="I368" s="289"/>
      <c r="J368" s="280"/>
      <c r="K368" s="280"/>
      <c r="L368" s="281"/>
      <c r="M368" s="280"/>
      <c r="N368" s="281"/>
      <c r="O368" s="281"/>
      <c r="P368" s="280"/>
      <c r="Q368" s="265">
        <f t="shared" si="44"/>
        <v>0</v>
      </c>
      <c r="R368" s="300"/>
      <c r="S368" s="317"/>
      <c r="T368" s="317"/>
      <c r="U368" s="317"/>
      <c r="V368" s="317"/>
      <c r="W368" s="317"/>
      <c r="X368" s="317"/>
      <c r="Y368" s="317"/>
      <c r="Z368" s="317"/>
      <c r="AA368" s="317"/>
      <c r="AB368" s="317"/>
      <c r="AC368" s="317"/>
      <c r="AD368" s="317"/>
      <c r="AE368" s="317"/>
      <c r="AF368" s="317"/>
      <c r="AG368" s="317"/>
      <c r="AH368" s="317"/>
      <c r="AI368" s="317"/>
      <c r="AJ368" s="317"/>
      <c r="AK368" s="317"/>
      <c r="AL368" s="317"/>
      <c r="AM368" s="317"/>
      <c r="AN368" s="317"/>
      <c r="AO368" s="317"/>
    </row>
    <row r="369" spans="1:41" s="304" customFormat="1" ht="22.5" customHeight="1">
      <c r="A369" s="490" t="s">
        <v>721</v>
      </c>
      <c r="B369" s="491"/>
      <c r="C369" s="491"/>
      <c r="D369" s="491"/>
      <c r="E369" s="491"/>
      <c r="F369" s="491"/>
      <c r="G369" s="491"/>
      <c r="H369" s="491"/>
      <c r="I369" s="289"/>
      <c r="J369" s="278"/>
      <c r="K369" s="278"/>
      <c r="L369" s="278"/>
      <c r="M369" s="278"/>
      <c r="N369" s="278"/>
      <c r="O369" s="278"/>
      <c r="P369" s="291"/>
      <c r="Q369" s="265">
        <f t="shared" si="44"/>
        <v>0</v>
      </c>
      <c r="R369" s="301"/>
    </row>
    <row r="370" spans="1:41" s="304" customFormat="1" ht="13.5" customHeight="1">
      <c r="A370" s="289"/>
      <c r="B370" s="278"/>
      <c r="C370" s="278"/>
      <c r="D370" s="278"/>
      <c r="E370" s="278"/>
      <c r="F370" s="278"/>
      <c r="G370" s="278"/>
      <c r="H370" s="278"/>
      <c r="I370" s="289"/>
      <c r="J370" s="278"/>
      <c r="K370" s="278"/>
      <c r="L370" s="278"/>
      <c r="M370" s="278"/>
      <c r="N370" s="278"/>
      <c r="O370" s="278"/>
      <c r="P370" s="278"/>
      <c r="Q370" s="265">
        <f t="shared" si="44"/>
        <v>0</v>
      </c>
      <c r="R370" s="301"/>
    </row>
    <row r="371" spans="1:41" s="304" customFormat="1">
      <c r="A371" s="278"/>
      <c r="B371" s="280"/>
      <c r="C371" s="280"/>
      <c r="D371" s="281"/>
      <c r="E371" s="280"/>
      <c r="F371" s="281"/>
      <c r="G371" s="281"/>
      <c r="H371" s="284" t="s">
        <v>839</v>
      </c>
      <c r="I371" s="305"/>
      <c r="J371" s="278"/>
      <c r="K371" s="278"/>
      <c r="L371" s="278"/>
      <c r="M371" s="278"/>
      <c r="N371" s="278"/>
      <c r="O371" s="278"/>
      <c r="P371" s="278"/>
      <c r="Q371" s="265">
        <f t="shared" si="44"/>
        <v>0</v>
      </c>
      <c r="R371" s="300"/>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row>
    <row r="372" spans="1:41" ht="18">
      <c r="A372" s="226" t="s">
        <v>727</v>
      </c>
      <c r="B372" s="227"/>
      <c r="C372" s="227"/>
      <c r="D372" s="227"/>
      <c r="E372" s="227"/>
      <c r="F372" s="227"/>
      <c r="G372" s="227"/>
      <c r="H372" s="227"/>
      <c r="Q372" s="265">
        <f t="shared" si="44"/>
        <v>0</v>
      </c>
    </row>
    <row r="373" spans="1:41" ht="13">
      <c r="A373" s="232"/>
      <c r="B373" s="228"/>
      <c r="C373" s="228"/>
      <c r="D373" s="228"/>
      <c r="E373" s="228"/>
      <c r="F373" s="228"/>
      <c r="G373" s="228"/>
      <c r="H373" s="228"/>
      <c r="Q373" s="265">
        <f t="shared" si="44"/>
        <v>0</v>
      </c>
    </row>
    <row r="374" spans="1:41" ht="15.5">
      <c r="A374" s="234" t="s">
        <v>687</v>
      </c>
      <c r="B374" s="228"/>
      <c r="C374" s="228"/>
      <c r="D374" s="228"/>
      <c r="E374" s="228"/>
      <c r="F374" s="228"/>
      <c r="G374" s="228"/>
      <c r="H374" s="228"/>
      <c r="Q374" s="265">
        <f t="shared" si="44"/>
        <v>0</v>
      </c>
    </row>
    <row r="375" spans="1:41" ht="15.5">
      <c r="A375" s="234" t="s">
        <v>836</v>
      </c>
      <c r="B375" s="228"/>
      <c r="C375" s="228"/>
      <c r="D375" s="228"/>
      <c r="E375" s="228"/>
      <c r="F375" s="228"/>
      <c r="G375" s="228"/>
      <c r="H375" s="228"/>
      <c r="Q375" s="265">
        <f t="shared" si="44"/>
        <v>0</v>
      </c>
    </row>
    <row r="376" spans="1:41">
      <c r="A376" s="237"/>
      <c r="B376" s="238"/>
      <c r="C376" s="238"/>
      <c r="D376" s="238"/>
      <c r="E376" s="238"/>
      <c r="F376" s="238"/>
      <c r="G376" s="238"/>
      <c r="H376" s="238"/>
      <c r="Q376" s="265">
        <f t="shared" si="44"/>
        <v>0</v>
      </c>
    </row>
    <row r="377" spans="1:41">
      <c r="A377" s="242"/>
      <c r="B377" s="243" t="s">
        <v>689</v>
      </c>
      <c r="C377" s="243"/>
      <c r="D377" s="243"/>
      <c r="E377" s="243"/>
      <c r="F377" s="243"/>
      <c r="G377" s="243"/>
      <c r="H377" s="244"/>
      <c r="Q377" s="265">
        <f t="shared" si="44"/>
        <v>0</v>
      </c>
    </row>
    <row r="378" spans="1:41">
      <c r="A378" s="242"/>
      <c r="B378" s="243" t="s">
        <v>690</v>
      </c>
      <c r="C378" s="243"/>
      <c r="D378" s="485" t="s">
        <v>691</v>
      </c>
      <c r="E378" s="483"/>
      <c r="F378" s="483"/>
      <c r="G378" s="483"/>
      <c r="H378" s="250" t="s">
        <v>581</v>
      </c>
      <c r="Q378" s="265">
        <f t="shared" si="44"/>
        <v>0</v>
      </c>
    </row>
    <row r="379" spans="1:41" ht="34.5">
      <c r="A379" s="242"/>
      <c r="B379" s="251" t="s">
        <v>692</v>
      </c>
      <c r="C379" s="252" t="s">
        <v>693</v>
      </c>
      <c r="D379" s="253" t="s">
        <v>694</v>
      </c>
      <c r="E379" s="254" t="s">
        <v>8</v>
      </c>
      <c r="F379" s="251" t="s">
        <v>695</v>
      </c>
      <c r="G379" s="255" t="s">
        <v>704</v>
      </c>
      <c r="H379" s="256" t="s">
        <v>697</v>
      </c>
      <c r="Q379" s="265">
        <f t="shared" si="44"/>
        <v>0</v>
      </c>
    </row>
    <row r="380" spans="1:41" ht="15.75" customHeight="1">
      <c r="A380" s="286" t="s">
        <v>666</v>
      </c>
      <c r="B380" s="313">
        <f>('Pivot Table for Data Exchange'!$R$7)*100</f>
        <v>81.477216831373255</v>
      </c>
      <c r="C380" s="260">
        <f>('Pivot Table for Data Exchange'!$R$10)*100</f>
        <v>5.1714886195948671</v>
      </c>
      <c r="D380" s="261">
        <f>SUM(E380:G380)</f>
        <v>13.351294549031884</v>
      </c>
      <c r="E380" s="260">
        <f>('Pivot Table for Data Exchange'!$R$13)*100</f>
        <v>13.351294549031884</v>
      </c>
      <c r="F380" s="260">
        <f>('Pivot Table for Data Exchange'!$R$16)*100</f>
        <v>0</v>
      </c>
      <c r="G380" s="264">
        <f>('Pivot Table for Data Exchange'!$R$19)*100</f>
        <v>0</v>
      </c>
      <c r="H380" s="260">
        <f>('Pivot Table for Data Exchange'!$R$22)*100</f>
        <v>0</v>
      </c>
      <c r="I380" s="231"/>
      <c r="J380" s="299"/>
      <c r="K380" s="299"/>
      <c r="L380" s="299"/>
      <c r="M380" s="299"/>
      <c r="N380" s="299"/>
      <c r="O380" s="299"/>
      <c r="P380" s="299"/>
      <c r="Q380" s="265">
        <f t="shared" si="44"/>
        <v>100</v>
      </c>
      <c r="R380" s="265"/>
      <c r="S380" s="314"/>
      <c r="T380" s="314"/>
      <c r="U380" s="314"/>
      <c r="V380" s="314"/>
      <c r="W380" s="314"/>
      <c r="X380" s="314"/>
      <c r="Y380" s="314"/>
      <c r="Z380" s="314"/>
      <c r="AA380" s="314"/>
      <c r="AB380" s="314"/>
      <c r="AC380" s="314"/>
      <c r="AD380" s="314"/>
      <c r="AE380" s="314"/>
      <c r="AF380" s="314"/>
      <c r="AG380" s="314"/>
      <c r="AH380" s="314"/>
      <c r="AI380" s="314"/>
      <c r="AJ380" s="314"/>
      <c r="AK380" s="314"/>
      <c r="AL380" s="314"/>
      <c r="AM380" s="314"/>
      <c r="AN380" s="314"/>
      <c r="AO380" s="314"/>
    </row>
    <row r="381" spans="1:41" ht="15.75" customHeight="1">
      <c r="A381" s="231" t="s">
        <v>667</v>
      </c>
      <c r="B381" s="260">
        <f>('Pivot Table for Data Exchange'!$R$43)*100</f>
        <v>0</v>
      </c>
      <c r="C381" s="260">
        <f>('Pivot Table for Data Exchange'!$R$46)*100</f>
        <v>0</v>
      </c>
      <c r="D381" s="261">
        <f t="shared" ref="D381:D383" si="47">SUM(E381:G381)</f>
        <v>0</v>
      </c>
      <c r="E381" s="260">
        <f>('Pivot Table for Data Exchange'!$R$49)*100</f>
        <v>0</v>
      </c>
      <c r="F381" s="260">
        <f>('Pivot Table for Data Exchange'!$R$52)*100</f>
        <v>0</v>
      </c>
      <c r="G381" s="268">
        <f>('Pivot Table for Data Exchange'!$R$55)*100</f>
        <v>0</v>
      </c>
      <c r="H381" s="260">
        <f>('Pivot Table for Data Exchange'!$R$58)*100</f>
        <v>0</v>
      </c>
      <c r="I381" s="231"/>
      <c r="J381" s="299"/>
      <c r="K381" s="299"/>
      <c r="L381" s="299"/>
      <c r="M381" s="299"/>
      <c r="N381" s="299"/>
      <c r="O381" s="299"/>
      <c r="P381" s="299"/>
      <c r="Q381" s="265">
        <f t="shared" si="44"/>
        <v>0</v>
      </c>
      <c r="R381" s="265"/>
      <c r="S381" s="314"/>
      <c r="T381" s="314"/>
      <c r="U381" s="314"/>
      <c r="V381" s="314"/>
      <c r="W381" s="314"/>
      <c r="X381" s="314"/>
      <c r="Y381" s="314"/>
      <c r="Z381" s="314"/>
      <c r="AA381" s="314"/>
      <c r="AB381" s="314"/>
      <c r="AC381" s="314"/>
      <c r="AD381" s="314"/>
      <c r="AE381" s="314"/>
      <c r="AF381" s="314"/>
      <c r="AG381" s="314"/>
      <c r="AH381" s="314"/>
      <c r="AI381" s="314"/>
      <c r="AJ381" s="314"/>
      <c r="AK381" s="314"/>
      <c r="AL381" s="314"/>
      <c r="AM381" s="314"/>
      <c r="AN381" s="314"/>
      <c r="AO381" s="314"/>
    </row>
    <row r="382" spans="1:41" ht="15.75" customHeight="1">
      <c r="A382" s="231" t="s">
        <v>668</v>
      </c>
      <c r="B382" s="260">
        <f>('Pivot Table for Data Exchange'!$R$79)*100</f>
        <v>0</v>
      </c>
      <c r="C382" s="260">
        <f>('Pivot Table for Data Exchange'!$R$82)*100</f>
        <v>0</v>
      </c>
      <c r="D382" s="261">
        <f t="shared" si="47"/>
        <v>0</v>
      </c>
      <c r="E382" s="260">
        <f>('Pivot Table for Data Exchange'!$R$85)*100</f>
        <v>0</v>
      </c>
      <c r="F382" s="260">
        <f>('Pivot Table for Data Exchange'!$R$88)*100</f>
        <v>0</v>
      </c>
      <c r="G382" s="268">
        <f>('Pivot Table for Data Exchange'!$R$91)*100</f>
        <v>0</v>
      </c>
      <c r="H382" s="260">
        <f>('Pivot Table for Data Exchange'!$R$94)*100</f>
        <v>0</v>
      </c>
      <c r="I382" s="231"/>
      <c r="J382" s="299"/>
      <c r="K382" s="299"/>
      <c r="L382" s="299"/>
      <c r="M382" s="299"/>
      <c r="N382" s="299"/>
      <c r="O382" s="299"/>
      <c r="P382" s="299"/>
      <c r="Q382" s="265">
        <f t="shared" si="44"/>
        <v>0</v>
      </c>
      <c r="R382" s="265"/>
      <c r="S382" s="314"/>
      <c r="T382" s="318"/>
      <c r="U382" s="314"/>
      <c r="V382" s="314"/>
      <c r="W382" s="314"/>
      <c r="X382" s="314"/>
      <c r="Y382" s="314"/>
      <c r="Z382" s="314"/>
      <c r="AA382" s="314"/>
      <c r="AB382" s="314"/>
      <c r="AC382" s="314"/>
      <c r="AD382" s="314"/>
      <c r="AE382" s="314"/>
      <c r="AF382" s="314"/>
      <c r="AG382" s="314"/>
      <c r="AH382" s="314"/>
      <c r="AI382" s="314"/>
      <c r="AJ382" s="314"/>
      <c r="AK382" s="314"/>
      <c r="AL382" s="314"/>
      <c r="AM382" s="314"/>
      <c r="AN382" s="314"/>
      <c r="AO382" s="314"/>
    </row>
    <row r="383" spans="1:41" ht="15.75" customHeight="1">
      <c r="A383" s="231" t="s">
        <v>669</v>
      </c>
      <c r="B383" s="260">
        <f>('Pivot Table for Data Exchange'!$R$115)*100</f>
        <v>0</v>
      </c>
      <c r="C383" s="260">
        <f>('Pivot Table for Data Exchange'!$R$118)*100</f>
        <v>0</v>
      </c>
      <c r="D383" s="261">
        <f t="shared" si="47"/>
        <v>0</v>
      </c>
      <c r="E383" s="260">
        <f>('Pivot Table for Data Exchange'!$R$121)*100</f>
        <v>0</v>
      </c>
      <c r="F383" s="260">
        <f>('Pivot Table for Data Exchange'!$R$124)*100</f>
        <v>0</v>
      </c>
      <c r="G383" s="268">
        <f>('Pivot Table for Data Exchange'!$R$127)*100</f>
        <v>0</v>
      </c>
      <c r="H383" s="260">
        <f>('Pivot Table for Data Exchange'!$R$130)*100</f>
        <v>0</v>
      </c>
      <c r="I383" s="231"/>
      <c r="J383" s="299"/>
      <c r="K383" s="299"/>
      <c r="L383" s="299"/>
      <c r="M383" s="299"/>
      <c r="N383" s="299"/>
      <c r="O383" s="299"/>
      <c r="P383" s="299"/>
      <c r="Q383" s="265">
        <f t="shared" si="44"/>
        <v>0</v>
      </c>
      <c r="R383" s="265"/>
      <c r="S383" s="314"/>
      <c r="U383" s="314"/>
      <c r="V383" s="314"/>
      <c r="W383" s="314"/>
      <c r="X383" s="314"/>
      <c r="Y383" s="314"/>
      <c r="Z383" s="314"/>
      <c r="AA383" s="314"/>
      <c r="AB383" s="314"/>
      <c r="AC383" s="314"/>
      <c r="AD383" s="314"/>
      <c r="AE383" s="314"/>
      <c r="AF383" s="314"/>
      <c r="AG383" s="314"/>
      <c r="AH383" s="314"/>
      <c r="AI383" s="314"/>
      <c r="AJ383" s="314"/>
      <c r="AK383" s="314"/>
      <c r="AL383" s="314"/>
      <c r="AM383" s="314"/>
      <c r="AN383" s="314"/>
      <c r="AO383" s="314"/>
    </row>
    <row r="384" spans="1:41" ht="15.75" customHeight="1">
      <c r="B384" s="260"/>
      <c r="C384" s="260"/>
      <c r="D384" s="261"/>
      <c r="E384" s="260"/>
      <c r="F384" s="260"/>
      <c r="G384" s="268"/>
      <c r="H384" s="260"/>
      <c r="I384" s="231"/>
      <c r="J384" s="299"/>
      <c r="K384" s="299"/>
      <c r="L384" s="299"/>
      <c r="M384" s="299"/>
      <c r="N384" s="299"/>
      <c r="O384" s="299"/>
      <c r="P384" s="299"/>
      <c r="Q384" s="265">
        <f t="shared" si="44"/>
        <v>0</v>
      </c>
      <c r="R384" s="265"/>
      <c r="S384" s="314"/>
      <c r="U384" s="314"/>
      <c r="V384" s="314"/>
      <c r="W384" s="314"/>
      <c r="X384" s="314"/>
      <c r="Y384" s="314"/>
      <c r="Z384" s="314"/>
      <c r="AA384" s="314"/>
      <c r="AB384" s="314"/>
      <c r="AC384" s="314"/>
      <c r="AD384" s="314"/>
      <c r="AE384" s="314"/>
      <c r="AF384" s="314"/>
      <c r="AG384" s="314"/>
      <c r="AH384" s="314"/>
      <c r="AI384" s="314"/>
      <c r="AJ384" s="314"/>
      <c r="AK384" s="314"/>
      <c r="AL384" s="314"/>
      <c r="AM384" s="314"/>
      <c r="AN384" s="314"/>
      <c r="AO384" s="314"/>
    </row>
    <row r="385" spans="1:41" ht="15.75" customHeight="1">
      <c r="A385" s="231" t="s">
        <v>670</v>
      </c>
      <c r="B385" s="260">
        <f>('Pivot Table for Data Exchange'!$R$151)*100</f>
        <v>61.294044341152464</v>
      </c>
      <c r="C385" s="260">
        <f>('Pivot Table for Data Exchange'!$R$154)*100</f>
        <v>0</v>
      </c>
      <c r="D385" s="261">
        <f t="shared" ref="D385:D386" si="48">SUM(E385:G385)</f>
        <v>38.705955658847536</v>
      </c>
      <c r="E385" s="260">
        <f>('Pivot Table for Data Exchange'!$R$157)*100</f>
        <v>38.131657777123372</v>
      </c>
      <c r="F385" s="260">
        <f>('Pivot Table for Data Exchange'!$R$160)*100</f>
        <v>0.57429788172416307</v>
      </c>
      <c r="G385" s="268">
        <f>('Pivot Table for Data Exchange'!$R$163)*100</f>
        <v>0</v>
      </c>
      <c r="H385" s="260">
        <f>('Pivot Table for Data Exchange'!$R$166)*100</f>
        <v>0</v>
      </c>
      <c r="I385" s="231"/>
      <c r="J385" s="299"/>
      <c r="K385" s="299"/>
      <c r="L385" s="299"/>
      <c r="M385" s="299"/>
      <c r="N385" s="299"/>
      <c r="O385" s="299"/>
      <c r="P385" s="299"/>
      <c r="Q385" s="265">
        <f t="shared" si="44"/>
        <v>100</v>
      </c>
      <c r="R385" s="265"/>
      <c r="S385" s="314"/>
      <c r="T385" s="314"/>
      <c r="U385" s="314"/>
      <c r="V385" s="314"/>
      <c r="W385" s="314"/>
      <c r="X385" s="314"/>
      <c r="Y385" s="314"/>
      <c r="Z385" s="314"/>
      <c r="AA385" s="314"/>
      <c r="AB385" s="314"/>
      <c r="AC385" s="314"/>
      <c r="AD385" s="314"/>
      <c r="AE385" s="314"/>
      <c r="AF385" s="314"/>
      <c r="AG385" s="314"/>
      <c r="AH385" s="314"/>
      <c r="AI385" s="314"/>
      <c r="AJ385" s="314"/>
      <c r="AK385" s="314"/>
      <c r="AL385" s="314"/>
      <c r="AM385" s="314"/>
      <c r="AN385" s="314"/>
      <c r="AO385" s="314"/>
    </row>
    <row r="386" spans="1:41" ht="15.75" customHeight="1">
      <c r="A386" s="231" t="s">
        <v>671</v>
      </c>
      <c r="B386" s="260">
        <f>('Pivot Table for Data Exchange'!$R$187)*100</f>
        <v>61.106332913326511</v>
      </c>
      <c r="C386" s="260">
        <f>('Pivot Table for Data Exchange'!$R$190)*100</f>
        <v>5.3021816409776514</v>
      </c>
      <c r="D386" s="261">
        <f t="shared" si="48"/>
        <v>33.591485445695838</v>
      </c>
      <c r="E386" s="260">
        <f>('Pivot Table for Data Exchange'!$R$193)*100</f>
        <v>33.591485445695838</v>
      </c>
      <c r="F386" s="260">
        <f>('Pivot Table for Data Exchange'!$R$196)*100</f>
        <v>0</v>
      </c>
      <c r="G386" s="268">
        <f>('Pivot Table for Data Exchange'!$R$199)*100</f>
        <v>0</v>
      </c>
      <c r="H386" s="260">
        <f>('Pivot Table for Data Exchange'!$R$202)*100</f>
        <v>0</v>
      </c>
      <c r="I386" s="231"/>
      <c r="J386" s="299"/>
      <c r="K386" s="299"/>
      <c r="L386" s="299"/>
      <c r="M386" s="299"/>
      <c r="N386" s="299"/>
      <c r="O386" s="299"/>
      <c r="P386" s="299"/>
      <c r="Q386" s="265">
        <f t="shared" si="44"/>
        <v>100</v>
      </c>
      <c r="R386" s="265"/>
      <c r="S386" s="314"/>
      <c r="T386" s="314"/>
      <c r="U386" s="314"/>
      <c r="V386" s="314"/>
      <c r="W386" s="314"/>
      <c r="X386" s="314"/>
      <c r="Y386" s="314"/>
      <c r="Z386" s="314"/>
      <c r="AA386" s="314"/>
      <c r="AB386" s="314"/>
      <c r="AC386" s="314"/>
      <c r="AD386" s="314"/>
      <c r="AE386" s="314"/>
      <c r="AF386" s="314"/>
      <c r="AG386" s="314"/>
      <c r="AH386" s="314"/>
      <c r="AI386" s="314"/>
      <c r="AJ386" s="314"/>
      <c r="AK386" s="314"/>
      <c r="AL386" s="314"/>
      <c r="AM386" s="314"/>
      <c r="AN386" s="314"/>
      <c r="AO386" s="314"/>
    </row>
    <row r="387" spans="1:41" ht="15.75" customHeight="1">
      <c r="A387" s="231" t="s">
        <v>672</v>
      </c>
      <c r="B387" s="260">
        <f>('Pivot Table for Data Exchange'!$R$223)*100</f>
        <v>79.975754359433083</v>
      </c>
      <c r="C387" s="260">
        <f>('Pivot Table for Data Exchange'!$R$226)*100</f>
        <v>0</v>
      </c>
      <c r="D387" s="261">
        <f>SUM(E387:G387)</f>
        <v>20.024245640566907</v>
      </c>
      <c r="E387" s="260">
        <f>('Pivot Table for Data Exchange'!$R$229)*100</f>
        <v>20.024245640566907</v>
      </c>
      <c r="F387" s="260">
        <f>('Pivot Table for Data Exchange'!$R$232)*100</f>
        <v>0</v>
      </c>
      <c r="G387" s="268">
        <f>('Pivot Table for Data Exchange'!$R$235)*100</f>
        <v>0</v>
      </c>
      <c r="H387" s="260">
        <f>('Pivot Table for Data Exchange'!$R$238)*100</f>
        <v>0</v>
      </c>
      <c r="I387" s="306"/>
      <c r="J387" s="299"/>
      <c r="K387" s="299"/>
      <c r="L387" s="299"/>
      <c r="M387" s="299"/>
      <c r="N387" s="299"/>
      <c r="O387" s="299"/>
      <c r="P387" s="299"/>
      <c r="Q387" s="265">
        <f t="shared" si="44"/>
        <v>99.999999999999986</v>
      </c>
      <c r="R387" s="265"/>
      <c r="S387" s="314"/>
      <c r="T387" s="318"/>
      <c r="U387" s="314"/>
      <c r="V387" s="314"/>
      <c r="W387" s="314"/>
      <c r="X387" s="314"/>
      <c r="Y387" s="314"/>
      <c r="Z387" s="314"/>
      <c r="AA387" s="314"/>
      <c r="AB387" s="314"/>
      <c r="AC387" s="314"/>
      <c r="AD387" s="314"/>
      <c r="AE387" s="314"/>
      <c r="AF387" s="314"/>
      <c r="AG387" s="314"/>
      <c r="AH387" s="314"/>
      <c r="AI387" s="314"/>
      <c r="AJ387" s="314"/>
      <c r="AK387" s="314"/>
      <c r="AL387" s="314"/>
      <c r="AM387" s="314"/>
      <c r="AN387" s="314"/>
      <c r="AO387" s="314"/>
    </row>
    <row r="388" spans="1:41" ht="15.75" customHeight="1">
      <c r="A388" s="231" t="s">
        <v>673</v>
      </c>
      <c r="B388" s="260">
        <f>('Pivot Table for Data Exchange'!$R$259)*100</f>
        <v>0</v>
      </c>
      <c r="C388" s="260">
        <f>('Pivot Table for Data Exchange'!$R$262)*100</f>
        <v>0</v>
      </c>
      <c r="D388" s="261">
        <f>SUM(E388:G388)</f>
        <v>0</v>
      </c>
      <c r="E388" s="260">
        <f>('Pivot Table for Data Exchange'!$R$265)*100</f>
        <v>0</v>
      </c>
      <c r="F388" s="260">
        <f>('Pivot Table for Data Exchange'!$R$268)*100</f>
        <v>0</v>
      </c>
      <c r="G388" s="268">
        <f>('Pivot Table for Data Exchange'!$R$271)*100</f>
        <v>0</v>
      </c>
      <c r="H388" s="260">
        <f>('Pivot Table for Data Exchange'!$R$274)*100</f>
        <v>0</v>
      </c>
      <c r="I388" s="231"/>
      <c r="J388" s="299"/>
      <c r="K388" s="299"/>
      <c r="L388" s="299"/>
      <c r="M388" s="299"/>
      <c r="N388" s="299"/>
      <c r="O388" s="299"/>
      <c r="P388" s="299"/>
      <c r="Q388" s="265">
        <f t="shared" si="44"/>
        <v>0</v>
      </c>
      <c r="R388" s="265"/>
      <c r="S388" s="314"/>
      <c r="U388" s="314"/>
      <c r="V388" s="314"/>
      <c r="W388" s="314"/>
      <c r="X388" s="314"/>
      <c r="Y388" s="314"/>
      <c r="Z388" s="314"/>
      <c r="AA388" s="314"/>
      <c r="AB388" s="314"/>
      <c r="AC388" s="314"/>
      <c r="AD388" s="314"/>
      <c r="AE388" s="314"/>
      <c r="AF388" s="314"/>
      <c r="AG388" s="314"/>
      <c r="AH388" s="314"/>
      <c r="AI388" s="314"/>
      <c r="AJ388" s="314"/>
      <c r="AK388" s="314"/>
      <c r="AL388" s="314"/>
      <c r="AM388" s="314"/>
      <c r="AN388" s="314"/>
      <c r="AO388" s="314"/>
    </row>
    <row r="389" spans="1:41" ht="15.75" customHeight="1">
      <c r="B389" s="260"/>
      <c r="C389" s="260"/>
      <c r="D389" s="261"/>
      <c r="E389" s="260"/>
      <c r="F389" s="260"/>
      <c r="G389" s="268"/>
      <c r="H389" s="260"/>
      <c r="I389" s="231"/>
      <c r="J389" s="299"/>
      <c r="K389" s="299"/>
      <c r="L389" s="299"/>
      <c r="M389" s="299"/>
      <c r="N389" s="299"/>
      <c r="O389" s="299"/>
      <c r="P389" s="299"/>
      <c r="Q389" s="265">
        <f t="shared" si="44"/>
        <v>0</v>
      </c>
      <c r="R389" s="265"/>
      <c r="S389" s="314"/>
      <c r="U389" s="314"/>
      <c r="V389" s="314"/>
      <c r="W389" s="314"/>
      <c r="X389" s="314"/>
      <c r="Y389" s="314"/>
      <c r="Z389" s="314"/>
      <c r="AA389" s="314"/>
      <c r="AB389" s="314"/>
      <c r="AC389" s="314"/>
      <c r="AD389" s="314"/>
      <c r="AE389" s="314"/>
      <c r="AF389" s="314"/>
      <c r="AG389" s="314"/>
      <c r="AH389" s="314"/>
      <c r="AI389" s="314"/>
      <c r="AJ389" s="314"/>
      <c r="AK389" s="314"/>
      <c r="AL389" s="314"/>
      <c r="AM389" s="314"/>
      <c r="AN389" s="314"/>
      <c r="AO389" s="314"/>
    </row>
    <row r="390" spans="1:41" ht="15.75" customHeight="1">
      <c r="A390" s="231" t="s">
        <v>674</v>
      </c>
      <c r="B390" s="260">
        <f>('Pivot Table for Data Exchange'!$R$295)*100</f>
        <v>0</v>
      </c>
      <c r="C390" s="260">
        <f>('Pivot Table for Data Exchange'!$R$298)*100</f>
        <v>0</v>
      </c>
      <c r="D390" s="261">
        <f>SUM(E390:G390)</f>
        <v>0</v>
      </c>
      <c r="E390" s="260">
        <f>('Pivot Table for Data Exchange'!$R$301)*100</f>
        <v>0</v>
      </c>
      <c r="F390" s="260">
        <f>('Pivot Table for Data Exchange'!$R$304)*100</f>
        <v>0</v>
      </c>
      <c r="G390" s="268">
        <f>('Pivot Table for Data Exchange'!$R$307)*100</f>
        <v>0</v>
      </c>
      <c r="H390" s="260">
        <f>('Pivot Table for Data Exchange'!$R$310)*100</f>
        <v>0</v>
      </c>
      <c r="I390" s="231"/>
      <c r="J390" s="299"/>
      <c r="K390" s="299"/>
      <c r="L390" s="299"/>
      <c r="M390" s="299"/>
      <c r="N390" s="299"/>
      <c r="O390" s="299"/>
      <c r="P390" s="299"/>
      <c r="Q390" s="265">
        <f t="shared" si="44"/>
        <v>0</v>
      </c>
      <c r="R390" s="265"/>
      <c r="S390" s="314"/>
      <c r="T390" s="314"/>
      <c r="U390" s="314"/>
      <c r="V390" s="314"/>
      <c r="W390" s="314"/>
      <c r="X390" s="314"/>
      <c r="Y390" s="314"/>
      <c r="Z390" s="314"/>
      <c r="AA390" s="314"/>
      <c r="AB390" s="314"/>
      <c r="AC390" s="314"/>
      <c r="AD390" s="314"/>
      <c r="AE390" s="314"/>
      <c r="AF390" s="314"/>
      <c r="AG390" s="314"/>
      <c r="AH390" s="314"/>
      <c r="AI390" s="314"/>
      <c r="AJ390" s="314"/>
      <c r="AK390" s="314"/>
      <c r="AL390" s="314"/>
      <c r="AM390" s="314"/>
      <c r="AN390" s="314"/>
      <c r="AO390" s="314"/>
    </row>
    <row r="391" spans="1:41" ht="15.75" customHeight="1">
      <c r="A391" s="231" t="s">
        <v>675</v>
      </c>
      <c r="B391" s="260">
        <f>('Pivot Table for Data Exchange'!$R$331)*100</f>
        <v>0</v>
      </c>
      <c r="C391" s="260">
        <f>('Pivot Table for Data Exchange'!$R$334)*100</f>
        <v>0</v>
      </c>
      <c r="D391" s="261">
        <f>SUM(E391:G391)</f>
        <v>0</v>
      </c>
      <c r="E391" s="260">
        <f>('Pivot Table for Data Exchange'!$R$337)*100</f>
        <v>0</v>
      </c>
      <c r="F391" s="260">
        <f>('Pivot Table for Data Exchange'!$R$340)*100</f>
        <v>0</v>
      </c>
      <c r="G391" s="268">
        <f>('Pivot Table for Data Exchange'!$R$343)*100</f>
        <v>0</v>
      </c>
      <c r="H391" s="260">
        <f>('Pivot Table for Data Exchange'!$R$346)*100</f>
        <v>0</v>
      </c>
      <c r="I391" s="231"/>
      <c r="J391" s="299"/>
      <c r="K391" s="299"/>
      <c r="L391" s="299"/>
      <c r="M391" s="299"/>
      <c r="N391" s="299"/>
      <c r="O391" s="299"/>
      <c r="P391" s="299"/>
      <c r="Q391" s="265">
        <f t="shared" si="44"/>
        <v>0</v>
      </c>
      <c r="R391" s="265"/>
      <c r="S391" s="314"/>
      <c r="T391" s="314"/>
      <c r="U391" s="314"/>
      <c r="V391" s="314"/>
      <c r="W391" s="314"/>
      <c r="X391" s="314"/>
      <c r="Y391" s="314"/>
      <c r="Z391" s="314"/>
      <c r="AA391" s="314"/>
      <c r="AB391" s="314"/>
      <c r="AC391" s="314"/>
      <c r="AD391" s="314"/>
      <c r="AE391" s="314"/>
      <c r="AF391" s="314"/>
      <c r="AG391" s="314"/>
      <c r="AH391" s="314"/>
      <c r="AI391" s="314"/>
      <c r="AJ391" s="314"/>
      <c r="AK391" s="314"/>
      <c r="AL391" s="314"/>
      <c r="AM391" s="314"/>
      <c r="AN391" s="314"/>
      <c r="AO391" s="314"/>
    </row>
    <row r="392" spans="1:41" ht="15.75" customHeight="1">
      <c r="A392" s="231" t="s">
        <v>676</v>
      </c>
      <c r="B392" s="260">
        <f>('Pivot Table for Data Exchange'!$R$367)*100</f>
        <v>0</v>
      </c>
      <c r="C392" s="260">
        <f>('Pivot Table for Data Exchange'!$R$370)*100</f>
        <v>0</v>
      </c>
      <c r="D392" s="261">
        <f>SUM(E392:G392)</f>
        <v>0</v>
      </c>
      <c r="E392" s="260">
        <f>('Pivot Table for Data Exchange'!$R$373)*100</f>
        <v>0</v>
      </c>
      <c r="F392" s="260">
        <f>('Pivot Table for Data Exchange'!$R$376)*100</f>
        <v>0</v>
      </c>
      <c r="G392" s="268">
        <f>('Pivot Table for Data Exchange'!$R$379)*100</f>
        <v>0</v>
      </c>
      <c r="H392" s="260">
        <f>('Pivot Table for Data Exchange'!$R$382)*100</f>
        <v>0</v>
      </c>
      <c r="I392" s="231"/>
      <c r="J392" s="299"/>
      <c r="K392" s="299"/>
      <c r="L392" s="299"/>
      <c r="M392" s="299"/>
      <c r="N392" s="299"/>
      <c r="O392" s="299"/>
      <c r="P392" s="299"/>
      <c r="Q392" s="265">
        <f t="shared" si="44"/>
        <v>0</v>
      </c>
      <c r="R392" s="265"/>
      <c r="S392" s="314"/>
      <c r="T392" s="318"/>
      <c r="U392" s="314"/>
      <c r="V392" s="314"/>
      <c r="W392" s="314"/>
      <c r="X392" s="314"/>
      <c r="Y392" s="314"/>
      <c r="Z392" s="314"/>
      <c r="AA392" s="314"/>
      <c r="AB392" s="314"/>
      <c r="AC392" s="314"/>
      <c r="AD392" s="314"/>
      <c r="AE392" s="314"/>
      <c r="AF392" s="314"/>
      <c r="AG392" s="314"/>
      <c r="AH392" s="314"/>
      <c r="AI392" s="314"/>
      <c r="AJ392" s="314"/>
      <c r="AK392" s="314"/>
      <c r="AL392" s="314"/>
      <c r="AM392" s="314"/>
      <c r="AN392" s="314"/>
      <c r="AO392" s="314"/>
    </row>
    <row r="393" spans="1:41" ht="15.75" customHeight="1">
      <c r="A393" s="231" t="s">
        <v>677</v>
      </c>
      <c r="B393" s="260">
        <f>('Pivot Table for Data Exchange'!$R$403)*100</f>
        <v>0</v>
      </c>
      <c r="C393" s="260">
        <f>('Pivot Table for Data Exchange'!$R$406)*100</f>
        <v>0</v>
      </c>
      <c r="D393" s="261">
        <f>SUM(E393:G393)</f>
        <v>0</v>
      </c>
      <c r="E393" s="260">
        <f>('Pivot Table for Data Exchange'!$R$409)*100</f>
        <v>0</v>
      </c>
      <c r="F393" s="260">
        <f>('Pivot Table for Data Exchange'!$R$412)*100</f>
        <v>0</v>
      </c>
      <c r="G393" s="268">
        <f>('Pivot Table for Data Exchange'!$R$415)*100</f>
        <v>0</v>
      </c>
      <c r="H393" s="260">
        <f>('Pivot Table for Data Exchange'!$R$418)*100</f>
        <v>0</v>
      </c>
      <c r="I393" s="231"/>
      <c r="J393" s="299"/>
      <c r="K393" s="299"/>
      <c r="L393" s="299"/>
      <c r="M393" s="299"/>
      <c r="N393" s="299"/>
      <c r="O393" s="299"/>
      <c r="P393" s="299"/>
      <c r="Q393" s="265">
        <f t="shared" si="44"/>
        <v>0</v>
      </c>
      <c r="R393" s="265"/>
      <c r="S393" s="314"/>
      <c r="T393" s="314"/>
      <c r="U393" s="314"/>
      <c r="V393" s="314"/>
      <c r="W393" s="314"/>
      <c r="X393" s="314"/>
      <c r="Y393" s="314"/>
      <c r="Z393" s="314"/>
      <c r="AA393" s="314"/>
      <c r="AB393" s="314"/>
      <c r="AC393" s="314"/>
      <c r="AD393" s="314"/>
      <c r="AE393" s="314"/>
      <c r="AF393" s="314"/>
      <c r="AG393" s="314"/>
      <c r="AH393" s="314"/>
      <c r="AI393" s="314"/>
      <c r="AJ393" s="314"/>
      <c r="AK393" s="314"/>
      <c r="AL393" s="314"/>
      <c r="AM393" s="314"/>
      <c r="AN393" s="314"/>
      <c r="AO393" s="314"/>
    </row>
    <row r="394" spans="1:41" ht="15.75" customHeight="1">
      <c r="B394" s="260"/>
      <c r="C394" s="260"/>
      <c r="D394" s="261"/>
      <c r="E394" s="260"/>
      <c r="F394" s="260"/>
      <c r="G394" s="268"/>
      <c r="H394" s="260"/>
      <c r="I394" s="231"/>
      <c r="J394" s="299"/>
      <c r="K394" s="299"/>
      <c r="L394" s="299"/>
      <c r="M394" s="299"/>
      <c r="N394" s="299"/>
      <c r="O394" s="299"/>
      <c r="P394" s="299"/>
      <c r="Q394" s="265">
        <f t="shared" si="44"/>
        <v>0</v>
      </c>
      <c r="R394" s="265"/>
      <c r="S394" s="314"/>
      <c r="T394" s="314"/>
      <c r="U394" s="314"/>
      <c r="V394" s="314"/>
      <c r="W394" s="314"/>
      <c r="X394" s="314"/>
      <c r="Y394" s="314"/>
      <c r="Z394" s="314"/>
      <c r="AA394" s="314"/>
      <c r="AB394" s="314"/>
      <c r="AC394" s="314"/>
      <c r="AD394" s="314"/>
      <c r="AE394" s="314"/>
      <c r="AF394" s="314"/>
      <c r="AG394" s="314"/>
      <c r="AH394" s="314"/>
      <c r="AI394" s="314"/>
      <c r="AJ394" s="314"/>
      <c r="AK394" s="314"/>
      <c r="AL394" s="314"/>
      <c r="AM394" s="314"/>
      <c r="AN394" s="314"/>
      <c r="AO394" s="314"/>
    </row>
    <row r="395" spans="1:41" ht="15.75" customHeight="1">
      <c r="A395" s="231" t="s">
        <v>678</v>
      </c>
      <c r="B395" s="260">
        <f>('Pivot Table for Data Exchange'!$R$439)*100</f>
        <v>0</v>
      </c>
      <c r="C395" s="260">
        <f>('Pivot Table for Data Exchange'!$R$442)*100</f>
        <v>0</v>
      </c>
      <c r="D395" s="261">
        <f>SUM(E395:G395)</f>
        <v>0</v>
      </c>
      <c r="E395" s="260">
        <f>('Pivot Table for Data Exchange'!$R$445)*100</f>
        <v>0</v>
      </c>
      <c r="F395" s="260">
        <f>('Pivot Table for Data Exchange'!$R$448)*100</f>
        <v>0</v>
      </c>
      <c r="G395" s="268">
        <f>('Pivot Table for Data Exchange'!$R$451)*100</f>
        <v>0</v>
      </c>
      <c r="H395" s="260">
        <f>('Pivot Table for Data Exchange'!$R$454)*100</f>
        <v>0</v>
      </c>
      <c r="I395" s="231"/>
      <c r="J395" s="299"/>
      <c r="K395" s="299"/>
      <c r="L395" s="299"/>
      <c r="M395" s="299"/>
      <c r="N395" s="299"/>
      <c r="O395" s="299"/>
      <c r="P395" s="299"/>
      <c r="Q395" s="265">
        <f t="shared" si="44"/>
        <v>0</v>
      </c>
      <c r="R395" s="265"/>
      <c r="S395" s="314"/>
      <c r="T395" s="314"/>
      <c r="U395" s="314"/>
      <c r="V395" s="314"/>
      <c r="W395" s="314"/>
      <c r="X395" s="314"/>
      <c r="Y395" s="314"/>
      <c r="Z395" s="314"/>
      <c r="AA395" s="314"/>
      <c r="AB395" s="314"/>
      <c r="AC395" s="314"/>
      <c r="AD395" s="314"/>
      <c r="AE395" s="314"/>
      <c r="AF395" s="314"/>
      <c r="AG395" s="314"/>
      <c r="AH395" s="314"/>
      <c r="AI395" s="314"/>
      <c r="AJ395" s="314"/>
      <c r="AK395" s="314"/>
      <c r="AL395" s="314"/>
      <c r="AM395" s="314"/>
      <c r="AN395" s="314"/>
      <c r="AO395" s="314"/>
    </row>
    <row r="396" spans="1:41" ht="15.75" customHeight="1">
      <c r="A396" s="231" t="s">
        <v>679</v>
      </c>
      <c r="B396" s="260">
        <f>('Pivot Table for Data Exchange'!$R$475)*100</f>
        <v>0</v>
      </c>
      <c r="C396" s="260">
        <f>('Pivot Table for Data Exchange'!$R$478)*100</f>
        <v>0</v>
      </c>
      <c r="D396" s="261">
        <f>SUM(E396:G396)</f>
        <v>0</v>
      </c>
      <c r="E396" s="260">
        <f>('Pivot Table for Data Exchange'!$R$481)*100</f>
        <v>0</v>
      </c>
      <c r="F396" s="260">
        <f>('Pivot Table for Data Exchange'!$R$484)*100</f>
        <v>0</v>
      </c>
      <c r="G396" s="268">
        <f>('Pivot Table for Data Exchange'!$R$487)*100</f>
        <v>0</v>
      </c>
      <c r="H396" s="260">
        <f>('Pivot Table for Data Exchange'!$R$490)*100</f>
        <v>0</v>
      </c>
      <c r="I396" s="231"/>
      <c r="J396" s="299"/>
      <c r="K396" s="299"/>
      <c r="L396" s="299"/>
      <c r="M396" s="299"/>
      <c r="N396" s="299"/>
      <c r="O396" s="299"/>
      <c r="P396" s="299"/>
      <c r="Q396" s="265">
        <f t="shared" si="44"/>
        <v>0</v>
      </c>
      <c r="R396" s="265"/>
      <c r="S396" s="314"/>
      <c r="T396" s="314"/>
      <c r="U396" s="314"/>
      <c r="V396" s="314"/>
      <c r="W396" s="314"/>
      <c r="X396" s="314"/>
      <c r="Y396" s="314"/>
      <c r="Z396" s="314"/>
      <c r="AA396" s="314"/>
      <c r="AB396" s="314"/>
      <c r="AC396" s="314"/>
      <c r="AD396" s="314"/>
      <c r="AE396" s="314"/>
      <c r="AF396" s="314"/>
      <c r="AG396" s="314"/>
      <c r="AH396" s="314"/>
      <c r="AI396" s="314"/>
      <c r="AJ396" s="314"/>
      <c r="AK396" s="314"/>
      <c r="AL396" s="314"/>
      <c r="AM396" s="314"/>
      <c r="AN396" s="314"/>
      <c r="AO396" s="314"/>
    </row>
    <row r="397" spans="1:41" ht="15.75" customHeight="1">
      <c r="A397" s="231" t="s">
        <v>680</v>
      </c>
      <c r="B397" s="260">
        <f>('Pivot Table for Data Exchange'!$R$511)*100</f>
        <v>0</v>
      </c>
      <c r="C397" s="260">
        <f>('Pivot Table for Data Exchange'!$R$514)*100</f>
        <v>0</v>
      </c>
      <c r="D397" s="261">
        <f>SUM(E397:G397)</f>
        <v>0</v>
      </c>
      <c r="E397" s="260">
        <f>('Pivot Table for Data Exchange'!$R$517)*100</f>
        <v>0</v>
      </c>
      <c r="F397" s="260">
        <f>('Pivot Table for Data Exchange'!$R$520)*100</f>
        <v>0</v>
      </c>
      <c r="G397" s="268">
        <f>('Pivot Table for Data Exchange'!$R$523)*100</f>
        <v>0</v>
      </c>
      <c r="H397" s="260">
        <f>('Pivot Table for Data Exchange'!$R$526)*100</f>
        <v>0</v>
      </c>
      <c r="I397" s="231"/>
      <c r="J397" s="299"/>
      <c r="K397" s="299"/>
      <c r="L397" s="299"/>
      <c r="M397" s="299"/>
      <c r="N397" s="299"/>
      <c r="O397" s="299"/>
      <c r="P397" s="299"/>
      <c r="Q397" s="265">
        <f t="shared" si="44"/>
        <v>0</v>
      </c>
      <c r="R397" s="265"/>
      <c r="S397" s="314"/>
      <c r="T397" s="314"/>
      <c r="U397" s="314"/>
      <c r="V397" s="314"/>
      <c r="W397" s="314"/>
      <c r="X397" s="314"/>
      <c r="Y397" s="314"/>
      <c r="Z397" s="314"/>
      <c r="AA397" s="314"/>
      <c r="AB397" s="314"/>
      <c r="AC397" s="314"/>
      <c r="AD397" s="314"/>
      <c r="AE397" s="314"/>
      <c r="AF397" s="314"/>
      <c r="AG397" s="314"/>
      <c r="AH397" s="314"/>
      <c r="AI397" s="314"/>
      <c r="AJ397" s="314"/>
      <c r="AK397" s="314"/>
      <c r="AL397" s="314"/>
      <c r="AM397" s="314"/>
      <c r="AN397" s="314"/>
      <c r="AO397" s="314"/>
    </row>
    <row r="398" spans="1:41" ht="15.75" customHeight="1">
      <c r="A398" s="237" t="s">
        <v>681</v>
      </c>
      <c r="B398" s="273">
        <f>('Pivot Table for Data Exchange'!$R$547)*100</f>
        <v>0</v>
      </c>
      <c r="C398" s="273">
        <f>('Pivot Table for Data Exchange'!$R$550)*100</f>
        <v>0</v>
      </c>
      <c r="D398" s="274">
        <f>SUM(E398:G398)</f>
        <v>0</v>
      </c>
      <c r="E398" s="273">
        <f>('Pivot Table for Data Exchange'!$R$553)*100</f>
        <v>0</v>
      </c>
      <c r="F398" s="273">
        <f>('Pivot Table for Data Exchange'!$R$556)*100</f>
        <v>0</v>
      </c>
      <c r="G398" s="275">
        <f>('Pivot Table for Data Exchange'!$R$559)*100</f>
        <v>0</v>
      </c>
      <c r="H398" s="273">
        <f>('Pivot Table for Data Exchange'!$R$562)*100</f>
        <v>0</v>
      </c>
      <c r="I398" s="231"/>
      <c r="J398" s="299"/>
      <c r="K398" s="299"/>
      <c r="L398" s="299"/>
      <c r="M398" s="299"/>
      <c r="N398" s="299"/>
      <c r="O398" s="299"/>
      <c r="P398" s="299"/>
      <c r="Q398" s="265">
        <f t="shared" si="44"/>
        <v>0</v>
      </c>
      <c r="R398" s="265"/>
      <c r="S398" s="314"/>
      <c r="T398" s="314"/>
      <c r="U398" s="314"/>
      <c r="V398" s="314"/>
      <c r="W398" s="314"/>
      <c r="X398" s="314"/>
      <c r="Y398" s="314"/>
      <c r="Z398" s="314"/>
      <c r="AA398" s="314"/>
      <c r="AB398" s="314"/>
      <c r="AC398" s="314"/>
      <c r="AD398" s="314"/>
      <c r="AE398" s="314"/>
      <c r="AF398" s="314"/>
      <c r="AG398" s="314"/>
      <c r="AH398" s="314"/>
      <c r="AI398" s="314"/>
      <c r="AJ398" s="314"/>
      <c r="AK398" s="314"/>
      <c r="AL398" s="314"/>
      <c r="AM398" s="314"/>
      <c r="AN398" s="314"/>
      <c r="AO398" s="314"/>
    </row>
    <row r="399" spans="1:41" s="304" customFormat="1" ht="14.25" customHeight="1">
      <c r="A399" s="279" t="s">
        <v>706</v>
      </c>
      <c r="B399" s="280"/>
      <c r="C399" s="280"/>
      <c r="D399" s="281"/>
      <c r="E399" s="280"/>
      <c r="F399" s="281"/>
      <c r="G399" s="281"/>
      <c r="H399" s="280"/>
      <c r="I399" s="289"/>
      <c r="J399" s="280"/>
      <c r="K399" s="280"/>
      <c r="L399" s="281"/>
      <c r="M399" s="280"/>
      <c r="N399" s="281"/>
      <c r="O399" s="281"/>
      <c r="P399" s="280"/>
      <c r="Q399" s="265">
        <f t="shared" si="44"/>
        <v>0</v>
      </c>
      <c r="R399" s="300"/>
      <c r="S399" s="317"/>
      <c r="T399" s="317"/>
      <c r="U399" s="317"/>
      <c r="V399" s="317"/>
      <c r="W399" s="317"/>
      <c r="X399" s="317"/>
      <c r="Y399" s="317"/>
      <c r="Z399" s="317"/>
      <c r="AA399" s="317"/>
      <c r="AB399" s="317"/>
      <c r="AC399" s="317"/>
      <c r="AD399" s="317"/>
      <c r="AE399" s="317"/>
      <c r="AF399" s="317"/>
      <c r="AG399" s="317"/>
      <c r="AH399" s="317"/>
      <c r="AI399" s="317"/>
      <c r="AJ399" s="317"/>
      <c r="AK399" s="317"/>
      <c r="AL399" s="317"/>
      <c r="AM399" s="317"/>
      <c r="AN399" s="317"/>
      <c r="AO399" s="317"/>
    </row>
    <row r="400" spans="1:41" s="304" customFormat="1" ht="18" customHeight="1">
      <c r="A400" s="289"/>
      <c r="B400" s="280"/>
      <c r="C400" s="280"/>
      <c r="D400" s="281"/>
      <c r="E400" s="280"/>
      <c r="F400" s="281"/>
      <c r="G400" s="281"/>
      <c r="H400" s="280"/>
      <c r="I400" s="289"/>
      <c r="J400" s="280"/>
      <c r="K400" s="280"/>
      <c r="L400" s="281"/>
      <c r="M400" s="280"/>
      <c r="N400" s="281"/>
      <c r="O400" s="281"/>
      <c r="P400" s="280"/>
      <c r="Q400" s="265">
        <f t="shared" si="44"/>
        <v>0</v>
      </c>
      <c r="R400" s="300"/>
      <c r="S400" s="317"/>
      <c r="T400" s="317"/>
      <c r="U400" s="317"/>
      <c r="V400" s="317"/>
      <c r="W400" s="317"/>
      <c r="X400" s="317"/>
      <c r="Y400" s="317"/>
      <c r="Z400" s="317"/>
      <c r="AA400" s="317"/>
      <c r="AB400" s="317"/>
      <c r="AC400" s="317"/>
      <c r="AD400" s="317"/>
      <c r="AE400" s="317"/>
      <c r="AF400" s="317"/>
      <c r="AG400" s="317"/>
      <c r="AH400" s="317"/>
      <c r="AI400" s="317"/>
      <c r="AJ400" s="317"/>
      <c r="AK400" s="317"/>
      <c r="AL400" s="317"/>
      <c r="AM400" s="317"/>
      <c r="AN400" s="317"/>
      <c r="AO400" s="317"/>
    </row>
    <row r="401" spans="1:41" ht="15.75" customHeight="1">
      <c r="B401" s="302"/>
      <c r="C401" s="302"/>
      <c r="D401" s="302"/>
      <c r="E401" s="302"/>
      <c r="F401" s="302"/>
      <c r="G401" s="302"/>
      <c r="H401" s="284" t="s">
        <v>839</v>
      </c>
      <c r="I401" s="231"/>
      <c r="J401" s="299"/>
      <c r="K401" s="299"/>
      <c r="L401" s="299"/>
      <c r="M401" s="299"/>
      <c r="N401" s="299"/>
      <c r="O401" s="299"/>
      <c r="P401" s="299"/>
      <c r="Q401" s="265">
        <f t="shared" si="44"/>
        <v>0</v>
      </c>
      <c r="R401" s="265"/>
      <c r="S401" s="314"/>
      <c r="T401" s="314"/>
      <c r="U401" s="314"/>
      <c r="V401" s="314"/>
      <c r="W401" s="314"/>
      <c r="X401" s="314"/>
      <c r="Y401" s="314"/>
      <c r="Z401" s="314"/>
      <c r="AA401" s="314"/>
      <c r="AB401" s="314"/>
      <c r="AC401" s="314"/>
      <c r="AD401" s="314"/>
      <c r="AE401" s="314"/>
      <c r="AF401" s="314"/>
      <c r="AG401" s="314"/>
      <c r="AH401" s="314"/>
      <c r="AI401" s="314"/>
      <c r="AJ401" s="314"/>
      <c r="AK401" s="314"/>
      <c r="AL401" s="314"/>
      <c r="AM401" s="314"/>
      <c r="AN401" s="314"/>
      <c r="AO401" s="314"/>
    </row>
    <row r="402" spans="1:41" ht="18">
      <c r="A402" s="226" t="s">
        <v>728</v>
      </c>
      <c r="B402" s="227"/>
      <c r="C402" s="227"/>
      <c r="D402" s="227"/>
      <c r="E402" s="227"/>
      <c r="F402" s="227"/>
      <c r="G402" s="227"/>
      <c r="H402" s="227"/>
      <c r="Q402" s="265">
        <f t="shared" si="44"/>
        <v>0</v>
      </c>
    </row>
    <row r="403" spans="1:41" ht="13">
      <c r="A403" s="232"/>
      <c r="B403" s="228"/>
      <c r="C403" s="228"/>
      <c r="D403" s="228"/>
      <c r="E403" s="228"/>
      <c r="F403" s="228"/>
      <c r="G403" s="228"/>
      <c r="H403" s="228"/>
      <c r="Q403" s="265">
        <f t="shared" si="44"/>
        <v>0</v>
      </c>
    </row>
    <row r="404" spans="1:41" ht="15.5">
      <c r="A404" s="234" t="s">
        <v>687</v>
      </c>
      <c r="B404" s="228"/>
      <c r="C404" s="228"/>
      <c r="D404" s="228"/>
      <c r="E404" s="228"/>
      <c r="F404" s="228"/>
      <c r="G404" s="228"/>
      <c r="H404" s="228"/>
      <c r="Q404" s="265">
        <f t="shared" si="44"/>
        <v>0</v>
      </c>
    </row>
    <row r="405" spans="1:41" ht="15.5">
      <c r="A405" s="234" t="s">
        <v>837</v>
      </c>
      <c r="B405" s="228"/>
      <c r="C405" s="228"/>
      <c r="D405" s="228"/>
      <c r="E405" s="228"/>
      <c r="F405" s="228"/>
      <c r="G405" s="228"/>
      <c r="H405" s="228"/>
      <c r="Q405" s="265">
        <f t="shared" si="44"/>
        <v>0</v>
      </c>
    </row>
    <row r="406" spans="1:41">
      <c r="A406" s="237"/>
      <c r="B406" s="238"/>
      <c r="C406" s="238"/>
      <c r="D406" s="238"/>
      <c r="E406" s="238"/>
      <c r="F406" s="238"/>
      <c r="G406" s="238"/>
      <c r="H406" s="238"/>
      <c r="Q406" s="265">
        <f t="shared" si="44"/>
        <v>0</v>
      </c>
    </row>
    <row r="407" spans="1:41">
      <c r="A407" s="242"/>
      <c r="B407" s="243" t="s">
        <v>689</v>
      </c>
      <c r="C407" s="243"/>
      <c r="D407" s="243"/>
      <c r="E407" s="243"/>
      <c r="F407" s="243"/>
      <c r="G407" s="243"/>
      <c r="H407" s="244"/>
      <c r="Q407" s="265">
        <f t="shared" si="44"/>
        <v>0</v>
      </c>
    </row>
    <row r="408" spans="1:41">
      <c r="A408" s="242"/>
      <c r="B408" s="243" t="s">
        <v>690</v>
      </c>
      <c r="C408" s="243"/>
      <c r="D408" s="485" t="s">
        <v>691</v>
      </c>
      <c r="E408" s="483"/>
      <c r="F408" s="483"/>
      <c r="G408" s="483"/>
      <c r="H408" s="250" t="s">
        <v>581</v>
      </c>
      <c r="Q408" s="265">
        <f t="shared" si="44"/>
        <v>0</v>
      </c>
    </row>
    <row r="409" spans="1:41" ht="34.5">
      <c r="A409" s="242"/>
      <c r="B409" s="251" t="s">
        <v>692</v>
      </c>
      <c r="C409" s="252" t="s">
        <v>693</v>
      </c>
      <c r="D409" s="253" t="s">
        <v>694</v>
      </c>
      <c r="E409" s="254" t="s">
        <v>8</v>
      </c>
      <c r="F409" s="251" t="s">
        <v>695</v>
      </c>
      <c r="G409" s="255" t="s">
        <v>704</v>
      </c>
      <c r="H409" s="256" t="s">
        <v>697</v>
      </c>
      <c r="Q409" s="265">
        <f t="shared" si="44"/>
        <v>0</v>
      </c>
    </row>
    <row r="410" spans="1:41" ht="15.75" customHeight="1">
      <c r="A410" s="286" t="s">
        <v>666</v>
      </c>
      <c r="B410" s="313">
        <f>('Pivot Table for Data Exchange'!$P$7)*100</f>
        <v>81.620317116629451</v>
      </c>
      <c r="C410" s="260">
        <f>('Pivot Table for Data Exchange'!$P$10)*100</f>
        <v>3.6154904481584231</v>
      </c>
      <c r="D410" s="261">
        <f>SUM(E410:G410)</f>
        <v>14.764192435212125</v>
      </c>
      <c r="E410" s="260">
        <f>('Pivot Table for Data Exchange'!$P$13)*100</f>
        <v>14.764192435212125</v>
      </c>
      <c r="F410" s="260">
        <f>('Pivot Table for Data Exchange'!$P$16)*100</f>
        <v>0</v>
      </c>
      <c r="G410" s="264">
        <f>('Pivot Table for Data Exchange'!$P$19)*100</f>
        <v>0</v>
      </c>
      <c r="H410" s="260">
        <f>('Pivot Table for Data Exchange'!$P$22)*100</f>
        <v>0</v>
      </c>
      <c r="I410" s="231"/>
      <c r="J410" s="299"/>
      <c r="K410" s="299"/>
      <c r="L410" s="299"/>
      <c r="M410" s="299"/>
      <c r="N410" s="299"/>
      <c r="O410" s="299"/>
      <c r="P410" s="299"/>
      <c r="Q410" s="265">
        <f t="shared" si="44"/>
        <v>100</v>
      </c>
      <c r="R410" s="265"/>
      <c r="S410" s="314"/>
      <c r="T410" s="314"/>
      <c r="U410" s="314"/>
      <c r="V410" s="314"/>
      <c r="W410" s="314"/>
      <c r="X410" s="314"/>
      <c r="Y410" s="314"/>
      <c r="Z410" s="314"/>
      <c r="AA410" s="314"/>
      <c r="AB410" s="314"/>
      <c r="AC410" s="314"/>
      <c r="AD410" s="314"/>
      <c r="AE410" s="314"/>
      <c r="AF410" s="314"/>
      <c r="AG410" s="314"/>
      <c r="AH410" s="314"/>
      <c r="AI410" s="314"/>
      <c r="AJ410" s="314"/>
      <c r="AK410" s="314"/>
      <c r="AL410" s="314"/>
      <c r="AM410" s="314"/>
      <c r="AN410" s="314"/>
      <c r="AO410" s="314"/>
    </row>
    <row r="411" spans="1:41" ht="15.75" customHeight="1">
      <c r="A411" s="231" t="s">
        <v>667</v>
      </c>
      <c r="B411" s="260">
        <f>('Pivot Table for Data Exchange'!$P$43)*100</f>
        <v>0</v>
      </c>
      <c r="C411" s="260">
        <f>('Pivot Table for Data Exchange'!$P$46)*100</f>
        <v>0</v>
      </c>
      <c r="D411" s="261">
        <f t="shared" ref="D411:D413" si="49">SUM(E411:G411)</f>
        <v>0</v>
      </c>
      <c r="E411" s="260">
        <f>('Pivot Table for Data Exchange'!$P$49)*100</f>
        <v>0</v>
      </c>
      <c r="F411" s="260">
        <f>('Pivot Table for Data Exchange'!$P$52)*100</f>
        <v>0</v>
      </c>
      <c r="G411" s="268">
        <f>('Pivot Table for Data Exchange'!$P$55)*100</f>
        <v>0</v>
      </c>
      <c r="H411" s="260">
        <f>('Pivot Table for Data Exchange'!$P$58)*100</f>
        <v>0</v>
      </c>
      <c r="I411" s="231"/>
      <c r="J411" s="299"/>
      <c r="K411" s="299"/>
      <c r="L411" s="299"/>
      <c r="M411" s="299"/>
      <c r="N411" s="299"/>
      <c r="O411" s="299"/>
      <c r="P411" s="299"/>
      <c r="Q411" s="265">
        <f t="shared" ref="Q411:Q458" si="50">SUM(B411,C411,D411,H411)</f>
        <v>0</v>
      </c>
      <c r="R411" s="265"/>
      <c r="S411" s="314"/>
      <c r="T411" s="314"/>
      <c r="U411" s="314"/>
      <c r="V411" s="314"/>
      <c r="W411" s="314"/>
      <c r="X411" s="314"/>
      <c r="Y411" s="314"/>
      <c r="Z411" s="314"/>
      <c r="AA411" s="314"/>
      <c r="AB411" s="314"/>
      <c r="AC411" s="314"/>
      <c r="AD411" s="314"/>
      <c r="AE411" s="314"/>
      <c r="AF411" s="314"/>
      <c r="AG411" s="314"/>
      <c r="AH411" s="314"/>
      <c r="AI411" s="314"/>
      <c r="AJ411" s="314"/>
      <c r="AK411" s="314"/>
      <c r="AL411" s="314"/>
      <c r="AM411" s="314"/>
      <c r="AN411" s="314"/>
      <c r="AO411" s="314"/>
    </row>
    <row r="412" spans="1:41" ht="15.75" customHeight="1">
      <c r="A412" s="231" t="s">
        <v>668</v>
      </c>
      <c r="B412" s="260">
        <f>('Pivot Table for Data Exchange'!$P$79)*100</f>
        <v>0</v>
      </c>
      <c r="C412" s="260">
        <f>('Pivot Table for Data Exchange'!$P$82)*100</f>
        <v>0</v>
      </c>
      <c r="D412" s="261">
        <f t="shared" si="49"/>
        <v>0</v>
      </c>
      <c r="E412" s="260">
        <f>('Pivot Table for Data Exchange'!$P$85)*100</f>
        <v>0</v>
      </c>
      <c r="F412" s="260">
        <f>('Pivot Table for Data Exchange'!$P$88)*100</f>
        <v>0</v>
      </c>
      <c r="G412" s="268">
        <f>('Pivot Table for Data Exchange'!$P$91)*100</f>
        <v>0</v>
      </c>
      <c r="H412" s="260">
        <f>('Pivot Table for Data Exchange'!$P$94)*100</f>
        <v>0</v>
      </c>
      <c r="I412" s="231"/>
      <c r="J412" s="299"/>
      <c r="K412" s="299"/>
      <c r="L412" s="299"/>
      <c r="M412" s="299"/>
      <c r="N412" s="299"/>
      <c r="O412" s="299"/>
      <c r="P412" s="299"/>
      <c r="Q412" s="265">
        <f t="shared" si="50"/>
        <v>0</v>
      </c>
      <c r="R412" s="265"/>
      <c r="S412" s="314"/>
      <c r="T412" s="318"/>
      <c r="U412" s="314"/>
      <c r="V412" s="314"/>
      <c r="W412" s="314"/>
      <c r="X412" s="314"/>
      <c r="Y412" s="314"/>
      <c r="Z412" s="314"/>
      <c r="AA412" s="314"/>
      <c r="AB412" s="314"/>
      <c r="AC412" s="314"/>
      <c r="AD412" s="314"/>
      <c r="AE412" s="314"/>
      <c r="AF412" s="314"/>
      <c r="AG412" s="314"/>
      <c r="AH412" s="314"/>
      <c r="AI412" s="314"/>
      <c r="AJ412" s="314"/>
      <c r="AK412" s="314"/>
      <c r="AL412" s="314"/>
      <c r="AM412" s="314"/>
      <c r="AN412" s="314"/>
      <c r="AO412" s="314"/>
    </row>
    <row r="413" spans="1:41" ht="15.75" customHeight="1">
      <c r="A413" s="231" t="s">
        <v>669</v>
      </c>
      <c r="B413" s="260">
        <f>('Pivot Table for Data Exchange'!$P$115)*100</f>
        <v>0</v>
      </c>
      <c r="C413" s="260">
        <f>('Pivot Table for Data Exchange'!$P$118)*100</f>
        <v>0</v>
      </c>
      <c r="D413" s="261">
        <f t="shared" si="49"/>
        <v>0</v>
      </c>
      <c r="E413" s="260">
        <f>('Pivot Table for Data Exchange'!$P$121)*100</f>
        <v>0</v>
      </c>
      <c r="F413" s="260">
        <f>('Pivot Table for Data Exchange'!$P$124)*100</f>
        <v>0</v>
      </c>
      <c r="G413" s="268">
        <f>('Pivot Table for Data Exchange'!$P$127)*100</f>
        <v>0</v>
      </c>
      <c r="H413" s="260">
        <f>('Pivot Table for Data Exchange'!$P$130)*100</f>
        <v>0</v>
      </c>
      <c r="I413" s="231"/>
      <c r="J413" s="299"/>
      <c r="K413" s="299"/>
      <c r="L413" s="299"/>
      <c r="M413" s="299"/>
      <c r="N413" s="299"/>
      <c r="O413" s="299"/>
      <c r="P413" s="299"/>
      <c r="Q413" s="265">
        <f t="shared" si="50"/>
        <v>0</v>
      </c>
      <c r="R413" s="265"/>
      <c r="S413" s="314"/>
      <c r="U413" s="314"/>
      <c r="V413" s="314"/>
      <c r="W413" s="314"/>
      <c r="X413" s="314"/>
      <c r="Y413" s="314"/>
      <c r="Z413" s="314"/>
      <c r="AA413" s="314"/>
      <c r="AB413" s="314"/>
      <c r="AC413" s="314"/>
      <c r="AD413" s="314"/>
      <c r="AE413" s="314"/>
      <c r="AF413" s="314"/>
      <c r="AG413" s="314"/>
      <c r="AH413" s="314"/>
      <c r="AI413" s="314"/>
      <c r="AJ413" s="314"/>
      <c r="AK413" s="314"/>
      <c r="AL413" s="314"/>
      <c r="AM413" s="314"/>
      <c r="AN413" s="314"/>
      <c r="AO413" s="314"/>
    </row>
    <row r="414" spans="1:41" ht="15.75" customHeight="1">
      <c r="B414" s="260"/>
      <c r="C414" s="260"/>
      <c r="D414" s="261"/>
      <c r="E414" s="260"/>
      <c r="F414" s="260"/>
      <c r="G414" s="268"/>
      <c r="H414" s="260"/>
      <c r="I414" s="231"/>
      <c r="J414" s="299"/>
      <c r="K414" s="299"/>
      <c r="L414" s="299"/>
      <c r="M414" s="299"/>
      <c r="N414" s="299"/>
      <c r="O414" s="299"/>
      <c r="P414" s="299"/>
      <c r="Q414" s="265">
        <f t="shared" si="50"/>
        <v>0</v>
      </c>
      <c r="R414" s="265"/>
      <c r="S414" s="314"/>
      <c r="U414" s="314"/>
      <c r="V414" s="314"/>
      <c r="W414" s="314"/>
      <c r="X414" s="314"/>
      <c r="Y414" s="314"/>
      <c r="Z414" s="314"/>
      <c r="AA414" s="314"/>
      <c r="AB414" s="314"/>
      <c r="AC414" s="314"/>
      <c r="AD414" s="314"/>
      <c r="AE414" s="314"/>
      <c r="AF414" s="314"/>
      <c r="AG414" s="314"/>
      <c r="AH414" s="314"/>
      <c r="AI414" s="314"/>
      <c r="AJ414" s="314"/>
      <c r="AK414" s="314"/>
      <c r="AL414" s="314"/>
      <c r="AM414" s="314"/>
      <c r="AN414" s="314"/>
      <c r="AO414" s="314"/>
    </row>
    <row r="415" spans="1:41" ht="15.75" customHeight="1">
      <c r="A415" s="231" t="s">
        <v>670</v>
      </c>
      <c r="B415" s="260">
        <f>('Pivot Table for Data Exchange'!$P$151)*100</f>
        <v>61.294044341152464</v>
      </c>
      <c r="C415" s="260">
        <f>('Pivot Table for Data Exchange'!$P$154)*100</f>
        <v>0</v>
      </c>
      <c r="D415" s="261">
        <f t="shared" ref="D415:D416" si="51">SUM(E415:G415)</f>
        <v>38.705955658847536</v>
      </c>
      <c r="E415" s="260">
        <f>('Pivot Table for Data Exchange'!$P$157)*100</f>
        <v>38.131657777123372</v>
      </c>
      <c r="F415" s="260">
        <f>('Pivot Table for Data Exchange'!$P$160)*100</f>
        <v>0.57429788172416307</v>
      </c>
      <c r="G415" s="268">
        <f>('Pivot Table for Data Exchange'!$P$163)*100</f>
        <v>0</v>
      </c>
      <c r="H415" s="260">
        <f>('Pivot Table for Data Exchange'!$P$166)*100</f>
        <v>0</v>
      </c>
      <c r="I415" s="231"/>
      <c r="J415" s="299"/>
      <c r="K415" s="299"/>
      <c r="L415" s="299"/>
      <c r="M415" s="299"/>
      <c r="N415" s="299"/>
      <c r="O415" s="299"/>
      <c r="P415" s="299"/>
      <c r="Q415" s="265">
        <f t="shared" si="50"/>
        <v>100</v>
      </c>
      <c r="R415" s="265"/>
      <c r="S415" s="314"/>
      <c r="T415" s="314"/>
      <c r="U415" s="314"/>
      <c r="V415" s="314"/>
      <c r="W415" s="314"/>
      <c r="X415" s="314"/>
      <c r="Y415" s="314"/>
      <c r="Z415" s="314"/>
      <c r="AA415" s="314"/>
      <c r="AB415" s="314"/>
      <c r="AC415" s="314"/>
      <c r="AD415" s="314"/>
      <c r="AE415" s="314"/>
      <c r="AF415" s="314"/>
      <c r="AG415" s="314"/>
      <c r="AH415" s="314"/>
      <c r="AI415" s="314"/>
      <c r="AJ415" s="314"/>
      <c r="AK415" s="314"/>
      <c r="AL415" s="314"/>
      <c r="AM415" s="314"/>
      <c r="AN415" s="314"/>
      <c r="AO415" s="314"/>
    </row>
    <row r="416" spans="1:41" ht="15.75" customHeight="1">
      <c r="A416" s="231" t="s">
        <v>671</v>
      </c>
      <c r="B416" s="260">
        <f>('Pivot Table for Data Exchange'!$P$187)*100</f>
        <v>61.106332913326511</v>
      </c>
      <c r="C416" s="260">
        <f>('Pivot Table for Data Exchange'!$P$190)*100</f>
        <v>5.3021816409776514</v>
      </c>
      <c r="D416" s="261">
        <f t="shared" si="51"/>
        <v>33.591485445695838</v>
      </c>
      <c r="E416" s="260">
        <f>('Pivot Table for Data Exchange'!$P$193)*100</f>
        <v>33.591485445695838</v>
      </c>
      <c r="F416" s="260">
        <f>('Pivot Table for Data Exchange'!$P$196)*100</f>
        <v>0</v>
      </c>
      <c r="G416" s="268">
        <f>('Pivot Table for Data Exchange'!$P$199)*100</f>
        <v>0</v>
      </c>
      <c r="H416" s="260">
        <f>('Pivot Table for Data Exchange'!$P$202)*100</f>
        <v>0</v>
      </c>
      <c r="I416" s="231"/>
      <c r="J416" s="299"/>
      <c r="K416" s="299"/>
      <c r="L416" s="299"/>
      <c r="M416" s="299"/>
      <c r="N416" s="299"/>
      <c r="O416" s="299"/>
      <c r="P416" s="299"/>
      <c r="Q416" s="265">
        <f t="shared" si="50"/>
        <v>100</v>
      </c>
      <c r="R416" s="265"/>
      <c r="S416" s="314"/>
      <c r="T416" s="314"/>
      <c r="U416" s="314"/>
      <c r="V416" s="314"/>
      <c r="W416" s="314"/>
      <c r="X416" s="314"/>
      <c r="Y416" s="314"/>
      <c r="Z416" s="314"/>
      <c r="AA416" s="314"/>
      <c r="AB416" s="314"/>
      <c r="AC416" s="314"/>
      <c r="AD416" s="314"/>
      <c r="AE416" s="314"/>
      <c r="AF416" s="314"/>
      <c r="AG416" s="314"/>
      <c r="AH416" s="314"/>
      <c r="AI416" s="314"/>
      <c r="AJ416" s="314"/>
      <c r="AK416" s="314"/>
      <c r="AL416" s="314"/>
      <c r="AM416" s="314"/>
      <c r="AN416" s="314"/>
      <c r="AO416" s="314"/>
    </row>
    <row r="417" spans="1:41" ht="15.75" customHeight="1">
      <c r="A417" s="231" t="s">
        <v>672</v>
      </c>
      <c r="B417" s="260">
        <f>('Pivot Table for Data Exchange'!$P$223)*100</f>
        <v>77.95643303307719</v>
      </c>
      <c r="C417" s="260">
        <f>('Pivot Table for Data Exchange'!$P$226)*100</f>
        <v>0</v>
      </c>
      <c r="D417" s="261">
        <f>SUM(E417:G417)</f>
        <v>22.043566966922803</v>
      </c>
      <c r="E417" s="260">
        <f>('Pivot Table for Data Exchange'!$P$229)*100</f>
        <v>22.043566966922803</v>
      </c>
      <c r="F417" s="260">
        <f>('Pivot Table for Data Exchange'!$P$232)*100</f>
        <v>0</v>
      </c>
      <c r="G417" s="268">
        <f>('Pivot Table for Data Exchange'!$P$235)*100</f>
        <v>0</v>
      </c>
      <c r="H417" s="260">
        <f>('Pivot Table for Data Exchange'!$P$238)*100</f>
        <v>0</v>
      </c>
      <c r="I417" s="306"/>
      <c r="J417" s="299"/>
      <c r="K417" s="299"/>
      <c r="L417" s="299"/>
      <c r="M417" s="299"/>
      <c r="N417" s="299"/>
      <c r="O417" s="299"/>
      <c r="P417" s="299"/>
      <c r="Q417" s="265">
        <f t="shared" si="50"/>
        <v>100</v>
      </c>
      <c r="R417" s="265"/>
      <c r="S417" s="314"/>
      <c r="T417" s="318"/>
      <c r="U417" s="314"/>
      <c r="V417" s="314"/>
      <c r="W417" s="314"/>
      <c r="X417" s="314"/>
      <c r="Y417" s="314"/>
      <c r="Z417" s="314"/>
      <c r="AA417" s="314"/>
      <c r="AB417" s="314"/>
      <c r="AC417" s="314"/>
      <c r="AD417" s="314"/>
      <c r="AE417" s="314"/>
      <c r="AF417" s="314"/>
      <c r="AG417" s="314"/>
      <c r="AH417" s="314"/>
      <c r="AI417" s="314"/>
      <c r="AJ417" s="314"/>
      <c r="AK417" s="314"/>
      <c r="AL417" s="314"/>
      <c r="AM417" s="314"/>
      <c r="AN417" s="314"/>
      <c r="AO417" s="314"/>
    </row>
    <row r="418" spans="1:41" ht="15.75" customHeight="1">
      <c r="A418" s="231" t="s">
        <v>673</v>
      </c>
      <c r="B418" s="260">
        <f>('Pivot Table for Data Exchange'!$P$259)*100</f>
        <v>0</v>
      </c>
      <c r="C418" s="260">
        <f>('Pivot Table for Data Exchange'!$P$262)*100</f>
        <v>0</v>
      </c>
      <c r="D418" s="261">
        <f>SUM(E418:G418)</f>
        <v>0</v>
      </c>
      <c r="E418" s="260">
        <f>('Pivot Table for Data Exchange'!$P$265)*100</f>
        <v>0</v>
      </c>
      <c r="F418" s="260">
        <f>('Pivot Table for Data Exchange'!$P$268)*100</f>
        <v>0</v>
      </c>
      <c r="G418" s="268">
        <f>('Pivot Table for Data Exchange'!$P$271)*100</f>
        <v>0</v>
      </c>
      <c r="H418" s="260">
        <f>('Pivot Table for Data Exchange'!$P$274)*100</f>
        <v>0</v>
      </c>
      <c r="I418" s="231"/>
      <c r="J418" s="299"/>
      <c r="K418" s="299"/>
      <c r="L418" s="299"/>
      <c r="M418" s="299"/>
      <c r="N418" s="299"/>
      <c r="O418" s="299"/>
      <c r="P418" s="299"/>
      <c r="Q418" s="265">
        <f t="shared" si="50"/>
        <v>0</v>
      </c>
      <c r="R418" s="265"/>
      <c r="S418" s="314"/>
      <c r="U418" s="314"/>
      <c r="V418" s="314"/>
      <c r="W418" s="314"/>
      <c r="X418" s="314"/>
      <c r="Y418" s="314"/>
      <c r="Z418" s="314"/>
      <c r="AA418" s="314"/>
      <c r="AB418" s="314"/>
      <c r="AC418" s="314"/>
      <c r="AD418" s="314"/>
      <c r="AE418" s="314"/>
      <c r="AF418" s="314"/>
      <c r="AG418" s="314"/>
      <c r="AH418" s="314"/>
      <c r="AI418" s="314"/>
      <c r="AJ418" s="314"/>
      <c r="AK418" s="314"/>
      <c r="AL418" s="314"/>
      <c r="AM418" s="314"/>
      <c r="AN418" s="314"/>
      <c r="AO418" s="314"/>
    </row>
    <row r="419" spans="1:41" ht="15.75" customHeight="1">
      <c r="B419" s="260"/>
      <c r="C419" s="260"/>
      <c r="D419" s="261"/>
      <c r="E419" s="260"/>
      <c r="F419" s="260"/>
      <c r="G419" s="268"/>
      <c r="H419" s="260"/>
      <c r="I419" s="231"/>
      <c r="J419" s="299"/>
      <c r="K419" s="299"/>
      <c r="L419" s="299"/>
      <c r="M419" s="299"/>
      <c r="N419" s="299"/>
      <c r="O419" s="299"/>
      <c r="P419" s="299"/>
      <c r="Q419" s="265">
        <f t="shared" si="50"/>
        <v>0</v>
      </c>
      <c r="R419" s="265"/>
      <c r="S419" s="314"/>
      <c r="U419" s="314"/>
      <c r="V419" s="314"/>
      <c r="W419" s="314"/>
      <c r="X419" s="314"/>
      <c r="Y419" s="314"/>
      <c r="Z419" s="314"/>
      <c r="AA419" s="314"/>
      <c r="AB419" s="314"/>
      <c r="AC419" s="314"/>
      <c r="AD419" s="314"/>
      <c r="AE419" s="314"/>
      <c r="AF419" s="314"/>
      <c r="AG419" s="314"/>
      <c r="AH419" s="314"/>
      <c r="AI419" s="314"/>
      <c r="AJ419" s="314"/>
      <c r="AK419" s="314"/>
      <c r="AL419" s="314"/>
      <c r="AM419" s="314"/>
      <c r="AN419" s="314"/>
      <c r="AO419" s="314"/>
    </row>
    <row r="420" spans="1:41" ht="15.75" customHeight="1">
      <c r="A420" s="231" t="s">
        <v>674</v>
      </c>
      <c r="B420" s="260">
        <f>('Pivot Table for Data Exchange'!$P$295)*100</f>
        <v>0</v>
      </c>
      <c r="C420" s="260">
        <f>('Pivot Table for Data Exchange'!$P$298)*100</f>
        <v>0</v>
      </c>
      <c r="D420" s="261">
        <f>SUM(E420:G420)</f>
        <v>0</v>
      </c>
      <c r="E420" s="260">
        <f>('Pivot Table for Data Exchange'!$P$301)*100</f>
        <v>0</v>
      </c>
      <c r="F420" s="260">
        <f>('Pivot Table for Data Exchange'!$P$304)*100</f>
        <v>0</v>
      </c>
      <c r="G420" s="268">
        <f>('Pivot Table for Data Exchange'!$P$307)*100</f>
        <v>0</v>
      </c>
      <c r="H420" s="260">
        <f>('Pivot Table for Data Exchange'!$P$310)*100</f>
        <v>0</v>
      </c>
      <c r="I420" s="231"/>
      <c r="J420" s="299"/>
      <c r="K420" s="299"/>
      <c r="L420" s="299"/>
      <c r="M420" s="299"/>
      <c r="N420" s="299"/>
      <c r="O420" s="299"/>
      <c r="P420" s="299"/>
      <c r="Q420" s="265">
        <f t="shared" si="50"/>
        <v>0</v>
      </c>
      <c r="R420" s="265"/>
      <c r="S420" s="314"/>
      <c r="T420" s="314"/>
      <c r="U420" s="314"/>
      <c r="V420" s="314"/>
      <c r="W420" s="314"/>
      <c r="X420" s="314"/>
      <c r="Y420" s="314"/>
      <c r="Z420" s="314"/>
      <c r="AA420" s="314"/>
      <c r="AB420" s="314"/>
      <c r="AC420" s="314"/>
      <c r="AD420" s="314"/>
      <c r="AE420" s="314"/>
      <c r="AF420" s="314"/>
      <c r="AG420" s="314"/>
      <c r="AH420" s="314"/>
      <c r="AI420" s="314"/>
      <c r="AJ420" s="314"/>
      <c r="AK420" s="314"/>
      <c r="AL420" s="314"/>
      <c r="AM420" s="314"/>
      <c r="AN420" s="314"/>
      <c r="AO420" s="314"/>
    </row>
    <row r="421" spans="1:41" ht="15.75" customHeight="1">
      <c r="A421" s="231" t="s">
        <v>675</v>
      </c>
      <c r="B421" s="260">
        <f>('Pivot Table for Data Exchange'!$P$331)*100</f>
        <v>0</v>
      </c>
      <c r="C421" s="260">
        <f>('Pivot Table for Data Exchange'!$P$334)*100</f>
        <v>0</v>
      </c>
      <c r="D421" s="261">
        <f>SUM(E421:G421)</f>
        <v>0</v>
      </c>
      <c r="E421" s="260">
        <f>('Pivot Table for Data Exchange'!$P$337)*100</f>
        <v>0</v>
      </c>
      <c r="F421" s="260">
        <f>('Pivot Table for Data Exchange'!$P$340)*100</f>
        <v>0</v>
      </c>
      <c r="G421" s="268">
        <f>('Pivot Table for Data Exchange'!$P$343)*100</f>
        <v>0</v>
      </c>
      <c r="H421" s="260">
        <f>('Pivot Table for Data Exchange'!$P$346)*100</f>
        <v>0</v>
      </c>
      <c r="I421" s="231"/>
      <c r="J421" s="299"/>
      <c r="K421" s="299"/>
      <c r="L421" s="299"/>
      <c r="M421" s="299"/>
      <c r="N421" s="299"/>
      <c r="O421" s="299"/>
      <c r="P421" s="299"/>
      <c r="Q421" s="265">
        <f t="shared" si="50"/>
        <v>0</v>
      </c>
      <c r="R421" s="265"/>
      <c r="S421" s="314"/>
      <c r="T421" s="314"/>
      <c r="U421" s="314"/>
      <c r="V421" s="314"/>
      <c r="W421" s="314"/>
      <c r="X421" s="314"/>
      <c r="Y421" s="314"/>
      <c r="Z421" s="314"/>
      <c r="AA421" s="314"/>
      <c r="AB421" s="314"/>
      <c r="AC421" s="314"/>
      <c r="AD421" s="314"/>
      <c r="AE421" s="314"/>
      <c r="AF421" s="314"/>
      <c r="AG421" s="314"/>
      <c r="AH421" s="314"/>
      <c r="AI421" s="314"/>
      <c r="AJ421" s="314"/>
      <c r="AK421" s="314"/>
      <c r="AL421" s="314"/>
      <c r="AM421" s="314"/>
      <c r="AN421" s="314"/>
      <c r="AO421" s="314"/>
    </row>
    <row r="422" spans="1:41" ht="15.75" customHeight="1">
      <c r="A422" s="231" t="s">
        <v>676</v>
      </c>
      <c r="B422" s="260">
        <f>('Pivot Table for Data Exchange'!$P$367)*100</f>
        <v>0</v>
      </c>
      <c r="C422" s="260">
        <f>('Pivot Table for Data Exchange'!$P$370)*100</f>
        <v>0</v>
      </c>
      <c r="D422" s="261">
        <f>SUM(E422:G422)</f>
        <v>0</v>
      </c>
      <c r="E422" s="260">
        <f>('Pivot Table for Data Exchange'!$P$373)*100</f>
        <v>0</v>
      </c>
      <c r="F422" s="260">
        <f>('Pivot Table for Data Exchange'!$P$376)*100</f>
        <v>0</v>
      </c>
      <c r="G422" s="268">
        <f>('Pivot Table for Data Exchange'!$P$379)*100</f>
        <v>0</v>
      </c>
      <c r="H422" s="260">
        <f>('Pivot Table for Data Exchange'!$P$382)*100</f>
        <v>0</v>
      </c>
      <c r="I422" s="231"/>
      <c r="J422" s="299"/>
      <c r="K422" s="299"/>
      <c r="L422" s="299"/>
      <c r="M422" s="299"/>
      <c r="N422" s="299"/>
      <c r="O422" s="299"/>
      <c r="P422" s="299"/>
      <c r="Q422" s="265">
        <f t="shared" si="50"/>
        <v>0</v>
      </c>
      <c r="R422" s="265"/>
      <c r="S422" s="314"/>
      <c r="T422" s="318"/>
      <c r="U422" s="314"/>
      <c r="V422" s="314"/>
      <c r="W422" s="314"/>
      <c r="X422" s="314"/>
      <c r="Y422" s="314"/>
      <c r="Z422" s="314"/>
      <c r="AA422" s="314"/>
      <c r="AB422" s="314"/>
      <c r="AC422" s="314"/>
      <c r="AD422" s="314"/>
      <c r="AE422" s="314"/>
      <c r="AF422" s="314"/>
      <c r="AG422" s="314"/>
      <c r="AH422" s="314"/>
      <c r="AI422" s="314"/>
      <c r="AJ422" s="314"/>
      <c r="AK422" s="314"/>
      <c r="AL422" s="314"/>
      <c r="AM422" s="314"/>
      <c r="AN422" s="314"/>
      <c r="AO422" s="314"/>
    </row>
    <row r="423" spans="1:41" ht="15.75" customHeight="1">
      <c r="A423" s="231" t="s">
        <v>677</v>
      </c>
      <c r="B423" s="260">
        <f>('Pivot Table for Data Exchange'!$P$403)*100</f>
        <v>0</v>
      </c>
      <c r="C423" s="260">
        <f>('Pivot Table for Data Exchange'!$P$406)*100</f>
        <v>0</v>
      </c>
      <c r="D423" s="261">
        <f>SUM(E423:G423)</f>
        <v>0</v>
      </c>
      <c r="E423" s="260">
        <f>('Pivot Table for Data Exchange'!$P$409)*100</f>
        <v>0</v>
      </c>
      <c r="F423" s="260">
        <f>('Pivot Table for Data Exchange'!$P$412)*100</f>
        <v>0</v>
      </c>
      <c r="G423" s="268">
        <f>('Pivot Table for Data Exchange'!$P$415)*100</f>
        <v>0</v>
      </c>
      <c r="H423" s="260">
        <f>('Pivot Table for Data Exchange'!$P$418)*100</f>
        <v>0</v>
      </c>
      <c r="I423" s="231"/>
      <c r="J423" s="299"/>
      <c r="K423" s="299"/>
      <c r="L423" s="299"/>
      <c r="M423" s="299"/>
      <c r="N423" s="299"/>
      <c r="O423" s="299"/>
      <c r="P423" s="299"/>
      <c r="Q423" s="265">
        <f t="shared" si="50"/>
        <v>0</v>
      </c>
      <c r="R423" s="265"/>
      <c r="S423" s="314"/>
      <c r="T423" s="314"/>
      <c r="U423" s="314"/>
      <c r="V423" s="314"/>
      <c r="W423" s="314"/>
      <c r="X423" s="314"/>
      <c r="Y423" s="314"/>
      <c r="Z423" s="314"/>
      <c r="AA423" s="314"/>
      <c r="AB423" s="314"/>
      <c r="AC423" s="314"/>
      <c r="AD423" s="314"/>
      <c r="AE423" s="314"/>
      <c r="AF423" s="314"/>
      <c r="AG423" s="314"/>
      <c r="AH423" s="314"/>
      <c r="AI423" s="314"/>
      <c r="AJ423" s="314"/>
      <c r="AK423" s="314"/>
      <c r="AL423" s="314"/>
      <c r="AM423" s="314"/>
      <c r="AN423" s="314"/>
      <c r="AO423" s="314"/>
    </row>
    <row r="424" spans="1:41" ht="15.75" customHeight="1">
      <c r="B424" s="260"/>
      <c r="C424" s="260"/>
      <c r="D424" s="261"/>
      <c r="E424" s="260"/>
      <c r="F424" s="260"/>
      <c r="G424" s="268"/>
      <c r="H424" s="260"/>
      <c r="I424" s="231"/>
      <c r="J424" s="299"/>
      <c r="K424" s="299"/>
      <c r="L424" s="299"/>
      <c r="M424" s="299"/>
      <c r="N424" s="299"/>
      <c r="O424" s="299"/>
      <c r="P424" s="299"/>
      <c r="Q424" s="265">
        <f t="shared" si="50"/>
        <v>0</v>
      </c>
      <c r="R424" s="265"/>
      <c r="S424" s="314"/>
      <c r="T424" s="314"/>
      <c r="U424" s="314"/>
      <c r="V424" s="314"/>
      <c r="W424" s="314"/>
      <c r="X424" s="314"/>
      <c r="Y424" s="314"/>
      <c r="Z424" s="314"/>
      <c r="AA424" s="314"/>
      <c r="AB424" s="314"/>
      <c r="AC424" s="314"/>
      <c r="AD424" s="314"/>
      <c r="AE424" s="314"/>
      <c r="AF424" s="314"/>
      <c r="AG424" s="314"/>
      <c r="AH424" s="314"/>
      <c r="AI424" s="314"/>
      <c r="AJ424" s="314"/>
      <c r="AK424" s="314"/>
      <c r="AL424" s="314"/>
      <c r="AM424" s="314"/>
      <c r="AN424" s="314"/>
      <c r="AO424" s="314"/>
    </row>
    <row r="425" spans="1:41" ht="15.75" customHeight="1">
      <c r="A425" s="231" t="s">
        <v>678</v>
      </c>
      <c r="B425" s="260">
        <f>('Pivot Table for Data Exchange'!$P$439)*100</f>
        <v>0</v>
      </c>
      <c r="C425" s="260">
        <f>('Pivot Table for Data Exchange'!$P$442)*100</f>
        <v>0</v>
      </c>
      <c r="D425" s="261">
        <f>SUM(E425:G425)</f>
        <v>0</v>
      </c>
      <c r="E425" s="260">
        <f>('Pivot Table for Data Exchange'!$P$445)*100</f>
        <v>0</v>
      </c>
      <c r="F425" s="260">
        <f>('Pivot Table for Data Exchange'!$P$448)*100</f>
        <v>0</v>
      </c>
      <c r="G425" s="268">
        <f>('Pivot Table for Data Exchange'!$P$451)*100</f>
        <v>0</v>
      </c>
      <c r="H425" s="260">
        <f>('Pivot Table for Data Exchange'!$P$454)*100</f>
        <v>0</v>
      </c>
      <c r="I425" s="231"/>
      <c r="J425" s="299"/>
      <c r="K425" s="299"/>
      <c r="L425" s="299"/>
      <c r="M425" s="299"/>
      <c r="N425" s="299"/>
      <c r="O425" s="299"/>
      <c r="P425" s="299"/>
      <c r="Q425" s="265">
        <f t="shared" si="50"/>
        <v>0</v>
      </c>
      <c r="R425" s="265"/>
      <c r="S425" s="314"/>
      <c r="T425" s="314"/>
      <c r="U425" s="314"/>
      <c r="V425" s="314"/>
      <c r="W425" s="314"/>
      <c r="X425" s="314"/>
      <c r="Y425" s="314"/>
      <c r="Z425" s="314"/>
      <c r="AA425" s="314"/>
      <c r="AB425" s="314"/>
      <c r="AC425" s="314"/>
      <c r="AD425" s="314"/>
      <c r="AE425" s="314"/>
      <c r="AF425" s="314"/>
      <c r="AG425" s="314"/>
      <c r="AH425" s="314"/>
      <c r="AI425" s="314"/>
      <c r="AJ425" s="314"/>
      <c r="AK425" s="314"/>
      <c r="AL425" s="314"/>
      <c r="AM425" s="314"/>
      <c r="AN425" s="314"/>
      <c r="AO425" s="314"/>
    </row>
    <row r="426" spans="1:41" ht="15.75" customHeight="1">
      <c r="A426" s="231" t="s">
        <v>679</v>
      </c>
      <c r="B426" s="260">
        <f>('Pivot Table for Data Exchange'!$P$475)*100</f>
        <v>0</v>
      </c>
      <c r="C426" s="260">
        <f>('Pivot Table for Data Exchange'!$P$478)*100</f>
        <v>0</v>
      </c>
      <c r="D426" s="261">
        <f>SUM(E426:G426)</f>
        <v>0</v>
      </c>
      <c r="E426" s="260">
        <f>('Pivot Table for Data Exchange'!$P$481)*100</f>
        <v>0</v>
      </c>
      <c r="F426" s="260">
        <f>('Pivot Table for Data Exchange'!$P$484)*100</f>
        <v>0</v>
      </c>
      <c r="G426" s="268">
        <f>('Pivot Table for Data Exchange'!$P$487)*100</f>
        <v>0</v>
      </c>
      <c r="H426" s="260">
        <f>('Pivot Table for Data Exchange'!$P$490)*100</f>
        <v>0</v>
      </c>
      <c r="I426" s="231"/>
      <c r="J426" s="299"/>
      <c r="K426" s="299"/>
      <c r="L426" s="299"/>
      <c r="M426" s="299"/>
      <c r="N426" s="299"/>
      <c r="O426" s="299"/>
      <c r="P426" s="299"/>
      <c r="Q426" s="265">
        <f t="shared" si="50"/>
        <v>0</v>
      </c>
      <c r="R426" s="265"/>
      <c r="S426" s="314"/>
      <c r="T426" s="314"/>
      <c r="U426" s="314"/>
      <c r="V426" s="314"/>
      <c r="W426" s="314"/>
      <c r="X426" s="314"/>
      <c r="Y426" s="314"/>
      <c r="Z426" s="314"/>
      <c r="AA426" s="314"/>
      <c r="AB426" s="314"/>
      <c r="AC426" s="314"/>
      <c r="AD426" s="314"/>
      <c r="AE426" s="314"/>
      <c r="AF426" s="314"/>
      <c r="AG426" s="314"/>
      <c r="AH426" s="314"/>
      <c r="AI426" s="314"/>
      <c r="AJ426" s="314"/>
      <c r="AK426" s="314"/>
      <c r="AL426" s="314"/>
      <c r="AM426" s="314"/>
      <c r="AN426" s="314"/>
      <c r="AO426" s="314"/>
    </row>
    <row r="427" spans="1:41" ht="15.75" customHeight="1">
      <c r="A427" s="231" t="s">
        <v>680</v>
      </c>
      <c r="B427" s="260">
        <f>('Pivot Table for Data Exchange'!$P$511)*100</f>
        <v>0</v>
      </c>
      <c r="C427" s="260">
        <f>('Pivot Table for Data Exchange'!$P$514)*100</f>
        <v>0</v>
      </c>
      <c r="D427" s="261">
        <f>SUM(E427:G427)</f>
        <v>0</v>
      </c>
      <c r="E427" s="260">
        <f>('Pivot Table for Data Exchange'!$P$517)*100</f>
        <v>0</v>
      </c>
      <c r="F427" s="260">
        <f>('Pivot Table for Data Exchange'!$P$520)*100</f>
        <v>0</v>
      </c>
      <c r="G427" s="268">
        <f>('Pivot Table for Data Exchange'!$P$523)*100</f>
        <v>0</v>
      </c>
      <c r="H427" s="260">
        <f>('Pivot Table for Data Exchange'!$P$526)*100</f>
        <v>0</v>
      </c>
      <c r="I427" s="231"/>
      <c r="J427" s="299"/>
      <c r="K427" s="299"/>
      <c r="L427" s="299"/>
      <c r="M427" s="299"/>
      <c r="N427" s="299"/>
      <c r="O427" s="299"/>
      <c r="P427" s="299"/>
      <c r="Q427" s="265">
        <f t="shared" si="50"/>
        <v>0</v>
      </c>
      <c r="R427" s="265"/>
      <c r="S427" s="314"/>
      <c r="T427" s="314"/>
      <c r="U427" s="314"/>
      <c r="V427" s="314"/>
      <c r="W427" s="314"/>
      <c r="X427" s="314"/>
      <c r="Y427" s="314"/>
      <c r="Z427" s="314"/>
      <c r="AA427" s="314"/>
      <c r="AB427" s="314"/>
      <c r="AC427" s="314"/>
      <c r="AD427" s="314"/>
      <c r="AE427" s="314"/>
      <c r="AF427" s="314"/>
      <c r="AG427" s="314"/>
      <c r="AH427" s="314"/>
      <c r="AI427" s="314"/>
      <c r="AJ427" s="314"/>
      <c r="AK427" s="314"/>
      <c r="AL427" s="314"/>
      <c r="AM427" s="314"/>
      <c r="AN427" s="314"/>
      <c r="AO427" s="314"/>
    </row>
    <row r="428" spans="1:41" ht="15.75" customHeight="1">
      <c r="A428" s="237" t="s">
        <v>681</v>
      </c>
      <c r="B428" s="273">
        <f>('Pivot Table for Data Exchange'!$P$547)*100</f>
        <v>0</v>
      </c>
      <c r="C428" s="273">
        <f>('Pivot Table for Data Exchange'!$P$550)*100</f>
        <v>0</v>
      </c>
      <c r="D428" s="274">
        <f>SUM(E428:G428)</f>
        <v>0</v>
      </c>
      <c r="E428" s="273">
        <f>('Pivot Table for Data Exchange'!$P$553)*100</f>
        <v>0</v>
      </c>
      <c r="F428" s="273">
        <f>('Pivot Table for Data Exchange'!$P$556)*100</f>
        <v>0</v>
      </c>
      <c r="G428" s="275">
        <f>('Pivot Table for Data Exchange'!$P$559)*100</f>
        <v>0</v>
      </c>
      <c r="H428" s="273">
        <f>('Pivot Table for Data Exchange'!$P$562)*100</f>
        <v>0</v>
      </c>
      <c r="I428" s="231"/>
      <c r="J428" s="299"/>
      <c r="K428" s="299"/>
      <c r="L428" s="299"/>
      <c r="M428" s="299"/>
      <c r="N428" s="299"/>
      <c r="O428" s="299"/>
      <c r="P428" s="299"/>
      <c r="Q428" s="265">
        <f t="shared" si="50"/>
        <v>0</v>
      </c>
      <c r="R428" s="265"/>
      <c r="S428" s="314"/>
      <c r="T428" s="314"/>
      <c r="U428" s="314"/>
      <c r="V428" s="314"/>
      <c r="W428" s="314"/>
      <c r="X428" s="314"/>
      <c r="Y428" s="314"/>
      <c r="Z428" s="314"/>
      <c r="AA428" s="314"/>
      <c r="AB428" s="314"/>
      <c r="AC428" s="314"/>
      <c r="AD428" s="314"/>
      <c r="AE428" s="314"/>
      <c r="AF428" s="314"/>
      <c r="AG428" s="314"/>
      <c r="AH428" s="314"/>
      <c r="AI428" s="314"/>
      <c r="AJ428" s="314"/>
      <c r="AK428" s="314"/>
      <c r="AL428" s="314"/>
      <c r="AM428" s="314"/>
      <c r="AN428" s="314"/>
      <c r="AO428" s="314"/>
    </row>
    <row r="429" spans="1:41" s="304" customFormat="1" ht="13.5" customHeight="1">
      <c r="A429" s="279" t="s">
        <v>706</v>
      </c>
      <c r="B429" s="280"/>
      <c r="C429" s="280"/>
      <c r="D429" s="281"/>
      <c r="E429" s="280"/>
      <c r="F429" s="281"/>
      <c r="G429" s="281"/>
      <c r="H429" s="280"/>
      <c r="I429" s="289"/>
      <c r="J429" s="280"/>
      <c r="K429" s="280"/>
      <c r="L429" s="281"/>
      <c r="M429" s="280"/>
      <c r="N429" s="281"/>
      <c r="O429" s="281"/>
      <c r="P429" s="280"/>
      <c r="Q429" s="265">
        <f t="shared" si="50"/>
        <v>0</v>
      </c>
      <c r="R429" s="300"/>
      <c r="S429" s="317"/>
      <c r="T429" s="317"/>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row>
    <row r="430" spans="1:41" s="304" customFormat="1" ht="13.5" customHeight="1">
      <c r="A430" s="289"/>
      <c r="B430" s="290"/>
      <c r="C430" s="278"/>
      <c r="D430" s="278"/>
      <c r="E430" s="278"/>
      <c r="F430" s="278"/>
      <c r="G430" s="278"/>
      <c r="H430" s="278"/>
      <c r="I430" s="289"/>
      <c r="J430" s="278"/>
      <c r="K430" s="278"/>
      <c r="L430" s="278"/>
      <c r="M430" s="278"/>
      <c r="N430" s="278"/>
      <c r="O430" s="278"/>
      <c r="P430" s="291"/>
      <c r="Q430" s="265">
        <f t="shared" si="50"/>
        <v>0</v>
      </c>
      <c r="R430" s="301"/>
    </row>
    <row r="431" spans="1:41" s="304" customFormat="1" ht="13.5" customHeight="1">
      <c r="A431" s="289"/>
      <c r="B431" s="278"/>
      <c r="C431" s="278"/>
      <c r="D431" s="278"/>
      <c r="E431" s="278"/>
      <c r="F431" s="278"/>
      <c r="G431" s="278"/>
      <c r="H431" s="284" t="s">
        <v>839</v>
      </c>
      <c r="I431" s="289"/>
      <c r="J431" s="278"/>
      <c r="K431" s="278"/>
      <c r="L431" s="278"/>
      <c r="M431" s="278"/>
      <c r="N431" s="278"/>
      <c r="O431" s="278"/>
      <c r="P431" s="278"/>
      <c r="Q431" s="265">
        <f t="shared" si="50"/>
        <v>0</v>
      </c>
      <c r="R431" s="301"/>
    </row>
    <row r="432" spans="1:41" ht="18">
      <c r="A432" s="226" t="s">
        <v>729</v>
      </c>
      <c r="B432" s="227"/>
      <c r="C432" s="227"/>
      <c r="D432" s="227"/>
      <c r="E432" s="227"/>
      <c r="F432" s="227"/>
      <c r="G432" s="227"/>
      <c r="H432" s="227"/>
      <c r="Q432" s="265">
        <f t="shared" si="50"/>
        <v>0</v>
      </c>
    </row>
    <row r="433" spans="1:41" ht="13">
      <c r="A433" s="232"/>
      <c r="B433" s="228"/>
      <c r="C433" s="228"/>
      <c r="D433" s="228"/>
      <c r="E433" s="228"/>
      <c r="F433" s="228"/>
      <c r="G433" s="228"/>
      <c r="H433" s="228"/>
      <c r="Q433" s="265">
        <f t="shared" si="50"/>
        <v>0</v>
      </c>
    </row>
    <row r="434" spans="1:41" ht="15.5">
      <c r="A434" s="234" t="s">
        <v>687</v>
      </c>
      <c r="B434" s="228"/>
      <c r="C434" s="228"/>
      <c r="D434" s="228"/>
      <c r="E434" s="228"/>
      <c r="F434" s="228"/>
      <c r="G434" s="228"/>
      <c r="H434" s="228"/>
      <c r="Q434" s="265">
        <f t="shared" si="50"/>
        <v>0</v>
      </c>
    </row>
    <row r="435" spans="1:41" ht="15.5">
      <c r="A435" s="234" t="s">
        <v>838</v>
      </c>
      <c r="B435" s="228"/>
      <c r="C435" s="228"/>
      <c r="D435" s="228"/>
      <c r="E435" s="228"/>
      <c r="F435" s="228"/>
      <c r="G435" s="228"/>
      <c r="H435" s="228"/>
      <c r="Q435" s="265">
        <f t="shared" si="50"/>
        <v>0</v>
      </c>
    </row>
    <row r="436" spans="1:41">
      <c r="A436" s="237"/>
      <c r="B436" s="238"/>
      <c r="C436" s="238"/>
      <c r="D436" s="238"/>
      <c r="E436" s="238"/>
      <c r="F436" s="238"/>
      <c r="G436" s="238"/>
      <c r="H436" s="238"/>
      <c r="Q436" s="265">
        <f t="shared" si="50"/>
        <v>0</v>
      </c>
    </row>
    <row r="437" spans="1:41">
      <c r="A437" s="242"/>
      <c r="B437" s="243" t="s">
        <v>689</v>
      </c>
      <c r="C437" s="243"/>
      <c r="D437" s="243"/>
      <c r="E437" s="243"/>
      <c r="F437" s="243"/>
      <c r="G437" s="243"/>
      <c r="H437" s="244"/>
      <c r="Q437" s="265">
        <f t="shared" si="50"/>
        <v>0</v>
      </c>
    </row>
    <row r="438" spans="1:41">
      <c r="A438" s="242"/>
      <c r="B438" s="243" t="s">
        <v>690</v>
      </c>
      <c r="C438" s="243"/>
      <c r="D438" s="485" t="s">
        <v>691</v>
      </c>
      <c r="E438" s="483"/>
      <c r="F438" s="483"/>
      <c r="G438" s="483"/>
      <c r="H438" s="250" t="s">
        <v>581</v>
      </c>
      <c r="Q438" s="265">
        <f t="shared" si="50"/>
        <v>0</v>
      </c>
    </row>
    <row r="439" spans="1:41" ht="34.5">
      <c r="A439" s="242"/>
      <c r="B439" s="251" t="s">
        <v>692</v>
      </c>
      <c r="C439" s="252" t="s">
        <v>693</v>
      </c>
      <c r="D439" s="253" t="s">
        <v>694</v>
      </c>
      <c r="E439" s="254" t="s">
        <v>8</v>
      </c>
      <c r="F439" s="251" t="s">
        <v>695</v>
      </c>
      <c r="G439" s="255" t="s">
        <v>704</v>
      </c>
      <c r="H439" s="256" t="s">
        <v>697</v>
      </c>
      <c r="Q439" s="265">
        <f t="shared" si="50"/>
        <v>0</v>
      </c>
    </row>
    <row r="440" spans="1:41" ht="15.75" customHeight="1">
      <c r="A440" s="286" t="s">
        <v>666</v>
      </c>
      <c r="B440" s="313">
        <f>('Pivot Table for Data Exchange'!$Q$7)*100</f>
        <v>81.336584284606005</v>
      </c>
      <c r="C440" s="260">
        <f>('Pivot Table for Data Exchange'!$Q$10)*100</f>
        <v>6.7006538845173447</v>
      </c>
      <c r="D440" s="261">
        <f>SUM(E440:G440)</f>
        <v>11.96276183087665</v>
      </c>
      <c r="E440" s="260">
        <f>('Pivot Table for Data Exchange'!$Q$13)*100</f>
        <v>11.96276183087665</v>
      </c>
      <c r="F440" s="260">
        <f>('Pivot Table for Data Exchange'!$Q$16)*100</f>
        <v>0</v>
      </c>
      <c r="G440" s="264">
        <f>('Pivot Table for Data Exchange'!$Q$19)*100</f>
        <v>0</v>
      </c>
      <c r="H440" s="260">
        <f>('Pivot Table for Data Exchange'!$Q$22)*100</f>
        <v>0</v>
      </c>
      <c r="I440" s="231"/>
      <c r="J440" s="299"/>
      <c r="K440" s="299"/>
      <c r="L440" s="299"/>
      <c r="M440" s="299"/>
      <c r="N440" s="299"/>
      <c r="O440" s="299"/>
      <c r="P440" s="299"/>
      <c r="Q440" s="265">
        <f t="shared" si="50"/>
        <v>100</v>
      </c>
      <c r="R440" s="265"/>
      <c r="S440" s="314"/>
      <c r="T440" s="314"/>
      <c r="U440" s="314"/>
      <c r="V440" s="314"/>
      <c r="W440" s="314"/>
      <c r="X440" s="314"/>
      <c r="Y440" s="314"/>
      <c r="Z440" s="314"/>
      <c r="AA440" s="314"/>
      <c r="AB440" s="314"/>
      <c r="AC440" s="314"/>
      <c r="AD440" s="314"/>
      <c r="AE440" s="314"/>
      <c r="AF440" s="314"/>
      <c r="AG440" s="314"/>
      <c r="AH440" s="314"/>
      <c r="AI440" s="314"/>
      <c r="AJ440" s="314"/>
      <c r="AK440" s="314"/>
      <c r="AL440" s="314"/>
      <c r="AM440" s="314"/>
      <c r="AN440" s="314"/>
      <c r="AO440" s="314"/>
    </row>
    <row r="441" spans="1:41" ht="15.75" customHeight="1">
      <c r="A441" s="231" t="s">
        <v>667</v>
      </c>
      <c r="B441" s="260">
        <f>('Pivot Table for Data Exchange'!$Q$43)*100</f>
        <v>0</v>
      </c>
      <c r="C441" s="260">
        <f>('Pivot Table for Data Exchange'!$Q$46)*100</f>
        <v>0</v>
      </c>
      <c r="D441" s="261">
        <f t="shared" ref="D441:D443" si="52">SUM(E441:G441)</f>
        <v>0</v>
      </c>
      <c r="E441" s="260">
        <f>('Pivot Table for Data Exchange'!$Q$49)*100</f>
        <v>0</v>
      </c>
      <c r="F441" s="260">
        <f>('Pivot Table for Data Exchange'!$Q$52)*100</f>
        <v>0</v>
      </c>
      <c r="G441" s="268">
        <f>('Pivot Table for Data Exchange'!$Q$55)*100</f>
        <v>0</v>
      </c>
      <c r="H441" s="260">
        <f>('Pivot Table for Data Exchange'!$Q$58)*100</f>
        <v>0</v>
      </c>
      <c r="I441" s="231"/>
      <c r="J441" s="299"/>
      <c r="K441" s="299"/>
      <c r="L441" s="299"/>
      <c r="M441" s="299"/>
      <c r="N441" s="299"/>
      <c r="O441" s="299"/>
      <c r="P441" s="299"/>
      <c r="Q441" s="265">
        <f t="shared" si="50"/>
        <v>0</v>
      </c>
      <c r="R441" s="265"/>
      <c r="S441" s="314"/>
      <c r="T441" s="314"/>
      <c r="U441" s="314"/>
      <c r="V441" s="314"/>
      <c r="W441" s="314"/>
      <c r="X441" s="314"/>
      <c r="Y441" s="314"/>
      <c r="Z441" s="314"/>
      <c r="AA441" s="314"/>
      <c r="AB441" s="314"/>
      <c r="AC441" s="314"/>
      <c r="AD441" s="314"/>
      <c r="AE441" s="314"/>
      <c r="AF441" s="314"/>
      <c r="AG441" s="314"/>
      <c r="AH441" s="314"/>
      <c r="AI441" s="314"/>
      <c r="AJ441" s="314"/>
      <c r="AK441" s="314"/>
      <c r="AL441" s="314"/>
      <c r="AM441" s="314"/>
      <c r="AN441" s="314"/>
      <c r="AO441" s="314"/>
    </row>
    <row r="442" spans="1:41" ht="15.75" customHeight="1">
      <c r="A442" s="231" t="s">
        <v>668</v>
      </c>
      <c r="B442" s="260">
        <f>('Pivot Table for Data Exchange'!$Q$79)*100</f>
        <v>0</v>
      </c>
      <c r="C442" s="260">
        <f>('Pivot Table for Data Exchange'!$Q$82)*100</f>
        <v>0</v>
      </c>
      <c r="D442" s="261">
        <f t="shared" si="52"/>
        <v>0</v>
      </c>
      <c r="E442" s="260">
        <f>('Pivot Table for Data Exchange'!$Q$85)*100</f>
        <v>0</v>
      </c>
      <c r="F442" s="260">
        <f>('Pivot Table for Data Exchange'!$Q$88)*100</f>
        <v>0</v>
      </c>
      <c r="G442" s="268">
        <f>('Pivot Table for Data Exchange'!$Q$91)*100</f>
        <v>0</v>
      </c>
      <c r="H442" s="260">
        <f>('Pivot Table for Data Exchange'!$Q$94)*100</f>
        <v>0</v>
      </c>
      <c r="I442" s="231"/>
      <c r="J442" s="299"/>
      <c r="K442" s="299"/>
      <c r="L442" s="299"/>
      <c r="M442" s="299"/>
      <c r="N442" s="299"/>
      <c r="O442" s="299"/>
      <c r="P442" s="299"/>
      <c r="Q442" s="265">
        <f t="shared" si="50"/>
        <v>0</v>
      </c>
      <c r="R442" s="265"/>
      <c r="S442" s="314"/>
      <c r="T442" s="318"/>
      <c r="U442" s="314"/>
      <c r="V442" s="314"/>
      <c r="W442" s="314"/>
      <c r="X442" s="314"/>
      <c r="Y442" s="314"/>
      <c r="Z442" s="314"/>
      <c r="AA442" s="314"/>
      <c r="AB442" s="314"/>
      <c r="AC442" s="314"/>
      <c r="AD442" s="314"/>
      <c r="AE442" s="314"/>
      <c r="AF442" s="314"/>
      <c r="AG442" s="314"/>
      <c r="AH442" s="314"/>
      <c r="AI442" s="314"/>
      <c r="AJ442" s="314"/>
      <c r="AK442" s="314"/>
      <c r="AL442" s="314"/>
      <c r="AM442" s="314"/>
      <c r="AN442" s="314"/>
      <c r="AO442" s="314"/>
    </row>
    <row r="443" spans="1:41" ht="15.75" customHeight="1">
      <c r="A443" s="231" t="s">
        <v>669</v>
      </c>
      <c r="B443" s="260">
        <f>('Pivot Table for Data Exchange'!$Q$115)*100</f>
        <v>0</v>
      </c>
      <c r="C443" s="260">
        <f>('Pivot Table for Data Exchange'!$Q$118)*100</f>
        <v>0</v>
      </c>
      <c r="D443" s="261">
        <f t="shared" si="52"/>
        <v>0</v>
      </c>
      <c r="E443" s="260">
        <f>('Pivot Table for Data Exchange'!$Q$121)*100</f>
        <v>0</v>
      </c>
      <c r="F443" s="260">
        <f>('Pivot Table for Data Exchange'!$Q$124)*100</f>
        <v>0</v>
      </c>
      <c r="G443" s="268">
        <f>('Pivot Table for Data Exchange'!$Q$127)*100</f>
        <v>0</v>
      </c>
      <c r="H443" s="260">
        <f>('Pivot Table for Data Exchange'!$Q$130)*100</f>
        <v>0</v>
      </c>
      <c r="I443" s="231"/>
      <c r="J443" s="299"/>
      <c r="K443" s="299"/>
      <c r="L443" s="299"/>
      <c r="M443" s="299"/>
      <c r="N443" s="299"/>
      <c r="O443" s="299"/>
      <c r="P443" s="299"/>
      <c r="Q443" s="265">
        <f t="shared" si="50"/>
        <v>0</v>
      </c>
      <c r="R443" s="265"/>
      <c r="S443" s="314"/>
      <c r="U443" s="314"/>
      <c r="V443" s="314"/>
      <c r="W443" s="314"/>
      <c r="X443" s="314"/>
      <c r="Y443" s="314"/>
      <c r="Z443" s="314"/>
      <c r="AA443" s="314"/>
      <c r="AB443" s="314"/>
      <c r="AC443" s="314"/>
      <c r="AD443" s="314"/>
      <c r="AE443" s="314"/>
      <c r="AF443" s="314"/>
      <c r="AG443" s="314"/>
      <c r="AH443" s="314"/>
      <c r="AI443" s="314"/>
      <c r="AJ443" s="314"/>
      <c r="AK443" s="314"/>
      <c r="AL443" s="314"/>
      <c r="AM443" s="314"/>
      <c r="AN443" s="314"/>
      <c r="AO443" s="314"/>
    </row>
    <row r="444" spans="1:41" ht="15.75" customHeight="1">
      <c r="B444" s="260"/>
      <c r="C444" s="260"/>
      <c r="D444" s="261"/>
      <c r="E444" s="260"/>
      <c r="F444" s="260"/>
      <c r="G444" s="268"/>
      <c r="H444" s="260"/>
      <c r="I444" s="231"/>
      <c r="J444" s="299"/>
      <c r="K444" s="299"/>
      <c r="L444" s="299"/>
      <c r="M444" s="299"/>
      <c r="N444" s="299"/>
      <c r="O444" s="299"/>
      <c r="P444" s="299"/>
      <c r="Q444" s="265">
        <f t="shared" si="50"/>
        <v>0</v>
      </c>
      <c r="R444" s="265"/>
      <c r="S444" s="314"/>
      <c r="U444" s="314"/>
      <c r="V444" s="314"/>
      <c r="W444" s="314"/>
      <c r="X444" s="314"/>
      <c r="Y444" s="314"/>
      <c r="Z444" s="314"/>
      <c r="AA444" s="314"/>
      <c r="AB444" s="314"/>
      <c r="AC444" s="314"/>
      <c r="AD444" s="314"/>
      <c r="AE444" s="314"/>
      <c r="AF444" s="314"/>
      <c r="AG444" s="314"/>
      <c r="AH444" s="314"/>
      <c r="AI444" s="314"/>
      <c r="AJ444" s="314"/>
      <c r="AK444" s="314"/>
      <c r="AL444" s="314"/>
      <c r="AM444" s="314"/>
      <c r="AN444" s="314"/>
      <c r="AO444" s="314"/>
    </row>
    <row r="445" spans="1:41" ht="15.75" customHeight="1">
      <c r="A445" s="231" t="s">
        <v>670</v>
      </c>
      <c r="B445" s="260">
        <f>('Pivot Table for Data Exchange'!$Q$151)*100</f>
        <v>0</v>
      </c>
      <c r="C445" s="260">
        <f>('Pivot Table for Data Exchange'!$Q$154)*100</f>
        <v>0</v>
      </c>
      <c r="D445" s="261">
        <f t="shared" ref="D445:D446" si="53">SUM(E445:G445)</f>
        <v>0</v>
      </c>
      <c r="E445" s="260">
        <f>('Pivot Table for Data Exchange'!$Q$157)*100</f>
        <v>0</v>
      </c>
      <c r="F445" s="260">
        <f>('Pivot Table for Data Exchange'!$Q$160)*100</f>
        <v>0</v>
      </c>
      <c r="G445" s="268">
        <f>('Pivot Table for Data Exchange'!$Q$163)*100</f>
        <v>0</v>
      </c>
      <c r="H445" s="260">
        <f>('Pivot Table for Data Exchange'!$Q$166)*100</f>
        <v>0</v>
      </c>
      <c r="I445" s="231"/>
      <c r="J445" s="299"/>
      <c r="K445" s="299"/>
      <c r="L445" s="299"/>
      <c r="M445" s="299"/>
      <c r="N445" s="299"/>
      <c r="O445" s="299"/>
      <c r="P445" s="299"/>
      <c r="Q445" s="265">
        <f t="shared" si="50"/>
        <v>0</v>
      </c>
      <c r="R445" s="265"/>
      <c r="S445" s="314"/>
      <c r="T445" s="314"/>
      <c r="U445" s="314"/>
      <c r="V445" s="314"/>
      <c r="W445" s="314"/>
      <c r="X445" s="314"/>
      <c r="Y445" s="314"/>
      <c r="Z445" s="314"/>
      <c r="AA445" s="314"/>
      <c r="AB445" s="314"/>
      <c r="AC445" s="314"/>
      <c r="AD445" s="314"/>
      <c r="AE445" s="314"/>
      <c r="AF445" s="314"/>
      <c r="AG445" s="314"/>
      <c r="AH445" s="314"/>
      <c r="AI445" s="314"/>
      <c r="AJ445" s="314"/>
      <c r="AK445" s="314"/>
      <c r="AL445" s="314"/>
      <c r="AM445" s="314"/>
      <c r="AN445" s="314"/>
      <c r="AO445" s="314"/>
    </row>
    <row r="446" spans="1:41" ht="15.75" customHeight="1">
      <c r="A446" s="231" t="s">
        <v>671</v>
      </c>
      <c r="B446" s="260">
        <f>('Pivot Table for Data Exchange'!$Q$187)*100</f>
        <v>0</v>
      </c>
      <c r="C446" s="260">
        <f>('Pivot Table for Data Exchange'!$Q$190)*100</f>
        <v>0</v>
      </c>
      <c r="D446" s="261">
        <f t="shared" si="53"/>
        <v>0</v>
      </c>
      <c r="E446" s="260">
        <f>('Pivot Table for Data Exchange'!$Q$193)*100</f>
        <v>0</v>
      </c>
      <c r="F446" s="260">
        <f>('Pivot Table for Data Exchange'!$Q$196)*100</f>
        <v>0</v>
      </c>
      <c r="G446" s="268">
        <f>('Pivot Table for Data Exchange'!$Q$199)*100</f>
        <v>0</v>
      </c>
      <c r="H446" s="260">
        <f>('Pivot Table for Data Exchange'!$Q$202)*100</f>
        <v>0</v>
      </c>
      <c r="I446" s="231"/>
      <c r="J446" s="299"/>
      <c r="K446" s="299"/>
      <c r="L446" s="299"/>
      <c r="M446" s="299"/>
      <c r="N446" s="299"/>
      <c r="O446" s="299"/>
      <c r="P446" s="299"/>
      <c r="Q446" s="265">
        <f t="shared" si="50"/>
        <v>0</v>
      </c>
      <c r="R446" s="265"/>
      <c r="S446" s="314"/>
      <c r="T446" s="314"/>
      <c r="U446" s="314"/>
      <c r="V446" s="314"/>
      <c r="W446" s="314"/>
      <c r="X446" s="314"/>
      <c r="Y446" s="314"/>
      <c r="Z446" s="314"/>
      <c r="AA446" s="314"/>
      <c r="AB446" s="314"/>
      <c r="AC446" s="314"/>
      <c r="AD446" s="314"/>
      <c r="AE446" s="314"/>
      <c r="AF446" s="314"/>
      <c r="AG446" s="314"/>
      <c r="AH446" s="314"/>
      <c r="AI446" s="314"/>
      <c r="AJ446" s="314"/>
      <c r="AK446" s="314"/>
      <c r="AL446" s="314"/>
      <c r="AM446" s="314"/>
      <c r="AN446" s="314"/>
      <c r="AO446" s="314"/>
    </row>
    <row r="447" spans="1:41" ht="15.75" customHeight="1">
      <c r="A447" s="231" t="s">
        <v>672</v>
      </c>
      <c r="B447" s="260">
        <f>('Pivot Table for Data Exchange'!$Q$223)*100</f>
        <v>99.392712550607285</v>
      </c>
      <c r="C447" s="260">
        <f>('Pivot Table for Data Exchange'!$Q$226)*100</f>
        <v>0</v>
      </c>
      <c r="D447" s="261">
        <f>SUM(E447:G447)</f>
        <v>0.60728744939271273</v>
      </c>
      <c r="E447" s="260">
        <f>('Pivot Table for Data Exchange'!$Q$229)*100</f>
        <v>0.60728744939271273</v>
      </c>
      <c r="F447" s="260">
        <f>('Pivot Table for Data Exchange'!$Q$232)*100</f>
        <v>0</v>
      </c>
      <c r="G447" s="268">
        <f>('Pivot Table for Data Exchange'!$Q$235)*100</f>
        <v>0</v>
      </c>
      <c r="H447" s="260">
        <f>('Pivot Table for Data Exchange'!$Q$238)*100</f>
        <v>0</v>
      </c>
      <c r="I447" s="306"/>
      <c r="J447" s="299"/>
      <c r="K447" s="299"/>
      <c r="L447" s="299"/>
      <c r="M447" s="299"/>
      <c r="N447" s="299"/>
      <c r="O447" s="299"/>
      <c r="P447" s="299"/>
      <c r="Q447" s="265">
        <f t="shared" si="50"/>
        <v>100</v>
      </c>
      <c r="R447" s="265"/>
      <c r="S447" s="314"/>
      <c r="T447" s="318"/>
      <c r="U447" s="314"/>
      <c r="V447" s="314"/>
      <c r="W447" s="314"/>
      <c r="X447" s="314"/>
      <c r="Y447" s="314"/>
      <c r="Z447" s="314"/>
      <c r="AA447" s="314"/>
      <c r="AB447" s="314"/>
      <c r="AC447" s="314"/>
      <c r="AD447" s="314"/>
      <c r="AE447" s="314"/>
      <c r="AF447" s="314"/>
      <c r="AG447" s="314"/>
      <c r="AH447" s="314"/>
      <c r="AI447" s="314"/>
      <c r="AJ447" s="314"/>
      <c r="AK447" s="314"/>
      <c r="AL447" s="314"/>
      <c r="AM447" s="314"/>
      <c r="AN447" s="314"/>
      <c r="AO447" s="314"/>
    </row>
    <row r="448" spans="1:41" ht="15.75" customHeight="1">
      <c r="A448" s="231" t="s">
        <v>673</v>
      </c>
      <c r="B448" s="260">
        <f>('Pivot Table for Data Exchange'!$Q$259)*100</f>
        <v>0</v>
      </c>
      <c r="C448" s="260">
        <f>('Pivot Table for Data Exchange'!$Q$262)*100</f>
        <v>0</v>
      </c>
      <c r="D448" s="261">
        <f>SUM(E448:G448)</f>
        <v>0</v>
      </c>
      <c r="E448" s="260">
        <f>('Pivot Table for Data Exchange'!$Q$265)*100</f>
        <v>0</v>
      </c>
      <c r="F448" s="260">
        <f>('Pivot Table for Data Exchange'!$Q$268)*100</f>
        <v>0</v>
      </c>
      <c r="G448" s="268">
        <f>('Pivot Table for Data Exchange'!$Q$271)*100</f>
        <v>0</v>
      </c>
      <c r="H448" s="260">
        <f>('Pivot Table for Data Exchange'!$Q$274)*100</f>
        <v>0</v>
      </c>
      <c r="I448" s="231"/>
      <c r="J448" s="299"/>
      <c r="K448" s="299"/>
      <c r="L448" s="299"/>
      <c r="M448" s="299"/>
      <c r="N448" s="299"/>
      <c r="O448" s="299"/>
      <c r="P448" s="299"/>
      <c r="Q448" s="265">
        <f t="shared" si="50"/>
        <v>0</v>
      </c>
      <c r="R448" s="265"/>
      <c r="S448" s="314"/>
      <c r="U448" s="314"/>
      <c r="V448" s="314"/>
      <c r="W448" s="314"/>
      <c r="X448" s="314"/>
      <c r="Y448" s="314"/>
      <c r="Z448" s="314"/>
      <c r="AA448" s="314"/>
      <c r="AB448" s="314"/>
      <c r="AC448" s="314"/>
      <c r="AD448" s="314"/>
      <c r="AE448" s="314"/>
      <c r="AF448" s="314"/>
      <c r="AG448" s="314"/>
      <c r="AH448" s="314"/>
      <c r="AI448" s="314"/>
      <c r="AJ448" s="314"/>
      <c r="AK448" s="314"/>
      <c r="AL448" s="314"/>
      <c r="AM448" s="314"/>
      <c r="AN448" s="314"/>
      <c r="AO448" s="314"/>
    </row>
    <row r="449" spans="1:41" ht="15.75" customHeight="1">
      <c r="B449" s="260"/>
      <c r="C449" s="260"/>
      <c r="D449" s="261"/>
      <c r="E449" s="260"/>
      <c r="F449" s="260"/>
      <c r="G449" s="268"/>
      <c r="H449" s="260"/>
      <c r="I449" s="231"/>
      <c r="J449" s="299"/>
      <c r="K449" s="299"/>
      <c r="L449" s="299"/>
      <c r="M449" s="299"/>
      <c r="N449" s="299"/>
      <c r="O449" s="299"/>
      <c r="P449" s="299"/>
      <c r="Q449" s="265">
        <f t="shared" si="50"/>
        <v>0</v>
      </c>
      <c r="R449" s="265"/>
      <c r="S449" s="314"/>
      <c r="U449" s="314"/>
      <c r="V449" s="314"/>
      <c r="W449" s="314"/>
      <c r="X449" s="314"/>
      <c r="Y449" s="314"/>
      <c r="Z449" s="314"/>
      <c r="AA449" s="314"/>
      <c r="AB449" s="314"/>
      <c r="AC449" s="314"/>
      <c r="AD449" s="314"/>
      <c r="AE449" s="314"/>
      <c r="AF449" s="314"/>
      <c r="AG449" s="314"/>
      <c r="AH449" s="314"/>
      <c r="AI449" s="314"/>
      <c r="AJ449" s="314"/>
      <c r="AK449" s="314"/>
      <c r="AL449" s="314"/>
      <c r="AM449" s="314"/>
      <c r="AN449" s="314"/>
      <c r="AO449" s="314"/>
    </row>
    <row r="450" spans="1:41" ht="15.75" customHeight="1">
      <c r="A450" s="231" t="s">
        <v>674</v>
      </c>
      <c r="B450" s="260">
        <f>('Pivot Table for Data Exchange'!$Q$295)*100</f>
        <v>0</v>
      </c>
      <c r="C450" s="260">
        <f>('Pivot Table for Data Exchange'!$Q$298)*100</f>
        <v>0</v>
      </c>
      <c r="D450" s="261">
        <f>SUM(E450:G450)</f>
        <v>0</v>
      </c>
      <c r="E450" s="260">
        <f>('Pivot Table for Data Exchange'!$Q$301)*100</f>
        <v>0</v>
      </c>
      <c r="F450" s="260">
        <f>('Pivot Table for Data Exchange'!$Q$304)*100</f>
        <v>0</v>
      </c>
      <c r="G450" s="268">
        <f>('Pivot Table for Data Exchange'!$Q$307)*100</f>
        <v>0</v>
      </c>
      <c r="H450" s="260">
        <f>('Pivot Table for Data Exchange'!$Q$310)*100</f>
        <v>0</v>
      </c>
      <c r="I450" s="231"/>
      <c r="J450" s="299"/>
      <c r="K450" s="299"/>
      <c r="L450" s="299"/>
      <c r="M450" s="299"/>
      <c r="N450" s="299"/>
      <c r="O450" s="299"/>
      <c r="P450" s="299"/>
      <c r="Q450" s="265">
        <f t="shared" si="50"/>
        <v>0</v>
      </c>
      <c r="R450" s="265"/>
      <c r="S450" s="314"/>
      <c r="T450" s="314"/>
      <c r="U450" s="314"/>
      <c r="V450" s="314"/>
      <c r="W450" s="314"/>
      <c r="X450" s="314"/>
      <c r="Y450" s="314"/>
      <c r="Z450" s="314"/>
      <c r="AA450" s="314"/>
      <c r="AB450" s="314"/>
      <c r="AC450" s="314"/>
      <c r="AD450" s="314"/>
      <c r="AE450" s="314"/>
      <c r="AF450" s="314"/>
      <c r="AG450" s="314"/>
      <c r="AH450" s="314"/>
      <c r="AI450" s="314"/>
      <c r="AJ450" s="314"/>
      <c r="AK450" s="314"/>
      <c r="AL450" s="314"/>
      <c r="AM450" s="314"/>
      <c r="AN450" s="314"/>
      <c r="AO450" s="314"/>
    </row>
    <row r="451" spans="1:41" ht="15.75" customHeight="1">
      <c r="A451" s="231" t="s">
        <v>675</v>
      </c>
      <c r="B451" s="260">
        <f>('Pivot Table for Data Exchange'!$Q$331)*100</f>
        <v>0</v>
      </c>
      <c r="C451" s="260">
        <f>('Pivot Table for Data Exchange'!$Q$334)*100</f>
        <v>0</v>
      </c>
      <c r="D451" s="261">
        <f>SUM(E451:G451)</f>
        <v>0</v>
      </c>
      <c r="E451" s="260">
        <f>('Pivot Table for Data Exchange'!$Q$337)*100</f>
        <v>0</v>
      </c>
      <c r="F451" s="260">
        <f>('Pivot Table for Data Exchange'!$Q$340)*100</f>
        <v>0</v>
      </c>
      <c r="G451" s="268">
        <f>('Pivot Table for Data Exchange'!$Q$343)*100</f>
        <v>0</v>
      </c>
      <c r="H451" s="260">
        <f>('Pivot Table for Data Exchange'!$Q$346)*100</f>
        <v>0</v>
      </c>
      <c r="I451" s="231"/>
      <c r="J451" s="299"/>
      <c r="K451" s="299"/>
      <c r="L451" s="299"/>
      <c r="M451" s="299"/>
      <c r="N451" s="299"/>
      <c r="O451" s="299"/>
      <c r="P451" s="299"/>
      <c r="Q451" s="265">
        <f t="shared" si="50"/>
        <v>0</v>
      </c>
      <c r="R451" s="265"/>
      <c r="S451" s="314"/>
      <c r="T451" s="314"/>
      <c r="U451" s="314"/>
      <c r="V451" s="314"/>
      <c r="W451" s="314"/>
      <c r="X451" s="314"/>
      <c r="Y451" s="314"/>
      <c r="Z451" s="314"/>
      <c r="AA451" s="314"/>
      <c r="AB451" s="314"/>
      <c r="AC451" s="314"/>
      <c r="AD451" s="314"/>
      <c r="AE451" s="314"/>
      <c r="AF451" s="314"/>
      <c r="AG451" s="314"/>
      <c r="AH451" s="314"/>
      <c r="AI451" s="314"/>
      <c r="AJ451" s="314"/>
      <c r="AK451" s="314"/>
      <c r="AL451" s="314"/>
      <c r="AM451" s="314"/>
      <c r="AN451" s="314"/>
      <c r="AO451" s="314"/>
    </row>
    <row r="452" spans="1:41" ht="15.75" customHeight="1">
      <c r="A452" s="231" t="s">
        <v>676</v>
      </c>
      <c r="B452" s="260">
        <f>('Pivot Table for Data Exchange'!$Q$367)*100</f>
        <v>0</v>
      </c>
      <c r="C452" s="260">
        <f>('Pivot Table for Data Exchange'!$Q$370)*100</f>
        <v>0</v>
      </c>
      <c r="D452" s="261">
        <f>SUM(E452:G452)</f>
        <v>0</v>
      </c>
      <c r="E452" s="260">
        <f>('Pivot Table for Data Exchange'!$Q$373)*100</f>
        <v>0</v>
      </c>
      <c r="F452" s="260">
        <f>('Pivot Table for Data Exchange'!$Q$376)*100</f>
        <v>0</v>
      </c>
      <c r="G452" s="268">
        <f>('Pivot Table for Data Exchange'!$Q$379)*100</f>
        <v>0</v>
      </c>
      <c r="H452" s="260">
        <f>('Pivot Table for Data Exchange'!$Q$382)*100</f>
        <v>0</v>
      </c>
      <c r="I452" s="231"/>
      <c r="J452" s="299"/>
      <c r="K452" s="299"/>
      <c r="L452" s="299"/>
      <c r="M452" s="299"/>
      <c r="N452" s="299"/>
      <c r="O452" s="299"/>
      <c r="P452" s="299"/>
      <c r="Q452" s="265">
        <f t="shared" si="50"/>
        <v>0</v>
      </c>
      <c r="R452" s="265"/>
      <c r="S452" s="314"/>
      <c r="T452" s="318"/>
      <c r="U452" s="314"/>
      <c r="V452" s="314"/>
      <c r="W452" s="314"/>
      <c r="X452" s="314"/>
      <c r="Y452" s="314"/>
      <c r="Z452" s="314"/>
      <c r="AA452" s="314"/>
      <c r="AB452" s="314"/>
      <c r="AC452" s="314"/>
      <c r="AD452" s="314"/>
      <c r="AE452" s="314"/>
      <c r="AF452" s="314"/>
      <c r="AG452" s="314"/>
      <c r="AH452" s="314"/>
      <c r="AI452" s="314"/>
      <c r="AJ452" s="314"/>
      <c r="AK452" s="314"/>
      <c r="AL452" s="314"/>
      <c r="AM452" s="314"/>
      <c r="AN452" s="314"/>
      <c r="AO452" s="314"/>
    </row>
    <row r="453" spans="1:41" ht="15.75" customHeight="1">
      <c r="A453" s="231" t="s">
        <v>677</v>
      </c>
      <c r="B453" s="260">
        <f>('Pivot Table for Data Exchange'!$Q$403)*100</f>
        <v>0</v>
      </c>
      <c r="C453" s="260">
        <f>('Pivot Table for Data Exchange'!$Q$406)*100</f>
        <v>0</v>
      </c>
      <c r="D453" s="261">
        <f>SUM(E453:G453)</f>
        <v>0</v>
      </c>
      <c r="E453" s="260">
        <f>('Pivot Table for Data Exchange'!$Q$409)*100</f>
        <v>0</v>
      </c>
      <c r="F453" s="260">
        <f>('Pivot Table for Data Exchange'!$Q$412)*100</f>
        <v>0</v>
      </c>
      <c r="G453" s="268">
        <f>('Pivot Table for Data Exchange'!$Q$415)*100</f>
        <v>0</v>
      </c>
      <c r="H453" s="260">
        <f>('Pivot Table for Data Exchange'!$Q$418)*100</f>
        <v>0</v>
      </c>
      <c r="I453" s="231"/>
      <c r="J453" s="299"/>
      <c r="K453" s="299"/>
      <c r="L453" s="299"/>
      <c r="M453" s="299"/>
      <c r="N453" s="299"/>
      <c r="O453" s="299"/>
      <c r="P453" s="299"/>
      <c r="Q453" s="265">
        <f t="shared" si="50"/>
        <v>0</v>
      </c>
      <c r="R453" s="265"/>
      <c r="S453" s="314"/>
      <c r="T453" s="314"/>
      <c r="U453" s="314"/>
      <c r="V453" s="314"/>
      <c r="W453" s="314"/>
      <c r="X453" s="314"/>
      <c r="Y453" s="314"/>
      <c r="Z453" s="314"/>
      <c r="AA453" s="314"/>
      <c r="AB453" s="314"/>
      <c r="AC453" s="314"/>
      <c r="AD453" s="314"/>
      <c r="AE453" s="314"/>
      <c r="AF453" s="314"/>
      <c r="AG453" s="314"/>
      <c r="AH453" s="314"/>
      <c r="AI453" s="314"/>
      <c r="AJ453" s="314"/>
      <c r="AK453" s="314"/>
      <c r="AL453" s="314"/>
      <c r="AM453" s="314"/>
      <c r="AN453" s="314"/>
      <c r="AO453" s="314"/>
    </row>
    <row r="454" spans="1:41" ht="15.75" customHeight="1">
      <c r="B454" s="260"/>
      <c r="C454" s="260"/>
      <c r="D454" s="261"/>
      <c r="E454" s="260"/>
      <c r="F454" s="260"/>
      <c r="G454" s="268"/>
      <c r="H454" s="260"/>
      <c r="I454" s="231"/>
      <c r="J454" s="299"/>
      <c r="K454" s="299"/>
      <c r="L454" s="299"/>
      <c r="M454" s="299"/>
      <c r="N454" s="299"/>
      <c r="O454" s="299"/>
      <c r="P454" s="299"/>
      <c r="Q454" s="265">
        <f t="shared" si="50"/>
        <v>0</v>
      </c>
      <c r="R454" s="265"/>
      <c r="S454" s="314"/>
      <c r="T454" s="314"/>
      <c r="U454" s="314"/>
      <c r="V454" s="314"/>
      <c r="W454" s="314"/>
      <c r="X454" s="314"/>
      <c r="Y454" s="314"/>
      <c r="Z454" s="314"/>
      <c r="AA454" s="314"/>
      <c r="AB454" s="314"/>
      <c r="AC454" s="314"/>
      <c r="AD454" s="314"/>
      <c r="AE454" s="314"/>
      <c r="AF454" s="314"/>
      <c r="AG454" s="314"/>
      <c r="AH454" s="314"/>
      <c r="AI454" s="314"/>
      <c r="AJ454" s="314"/>
      <c r="AK454" s="314"/>
      <c r="AL454" s="314"/>
      <c r="AM454" s="314"/>
      <c r="AN454" s="314"/>
      <c r="AO454" s="314"/>
    </row>
    <row r="455" spans="1:41" ht="15.75" customHeight="1">
      <c r="A455" s="231" t="s">
        <v>678</v>
      </c>
      <c r="B455" s="260">
        <f>('Pivot Table for Data Exchange'!$Q$439)*100</f>
        <v>0</v>
      </c>
      <c r="C455" s="260">
        <f>('Pivot Table for Data Exchange'!$Q$442)*100</f>
        <v>0</v>
      </c>
      <c r="D455" s="261">
        <f>SUM(E455:G455)</f>
        <v>0</v>
      </c>
      <c r="E455" s="260">
        <f>('Pivot Table for Data Exchange'!$Q$445)*100</f>
        <v>0</v>
      </c>
      <c r="F455" s="260">
        <f>('Pivot Table for Data Exchange'!$Q$448)*100</f>
        <v>0</v>
      </c>
      <c r="G455" s="268">
        <f>('Pivot Table for Data Exchange'!$Q$451)*100</f>
        <v>0</v>
      </c>
      <c r="H455" s="260">
        <f>('Pivot Table for Data Exchange'!$Q$454)*100</f>
        <v>0</v>
      </c>
      <c r="I455" s="231"/>
      <c r="J455" s="299"/>
      <c r="K455" s="299"/>
      <c r="L455" s="299"/>
      <c r="M455" s="299"/>
      <c r="N455" s="299"/>
      <c r="O455" s="299"/>
      <c r="P455" s="299"/>
      <c r="Q455" s="265">
        <f t="shared" si="50"/>
        <v>0</v>
      </c>
      <c r="R455" s="265"/>
      <c r="S455" s="314"/>
      <c r="T455" s="314"/>
      <c r="U455" s="314"/>
      <c r="V455" s="314"/>
      <c r="W455" s="314"/>
      <c r="X455" s="314"/>
      <c r="Y455" s="314"/>
      <c r="Z455" s="314"/>
      <c r="AA455" s="314"/>
      <c r="AB455" s="314"/>
      <c r="AC455" s="314"/>
      <c r="AD455" s="314"/>
      <c r="AE455" s="314"/>
      <c r="AF455" s="314"/>
      <c r="AG455" s="314"/>
      <c r="AH455" s="314"/>
      <c r="AI455" s="314"/>
      <c r="AJ455" s="314"/>
      <c r="AK455" s="314"/>
      <c r="AL455" s="314"/>
      <c r="AM455" s="314"/>
      <c r="AN455" s="314"/>
      <c r="AO455" s="314"/>
    </row>
    <row r="456" spans="1:41" ht="15.75" customHeight="1">
      <c r="A456" s="231" t="s">
        <v>679</v>
      </c>
      <c r="B456" s="260">
        <f>('Pivot Table for Data Exchange'!$Q$475)*100</f>
        <v>0</v>
      </c>
      <c r="C456" s="260">
        <f>('Pivot Table for Data Exchange'!$Q$478)*100</f>
        <v>0</v>
      </c>
      <c r="D456" s="261">
        <f>SUM(E456:G456)</f>
        <v>0</v>
      </c>
      <c r="E456" s="260">
        <f>('Pivot Table for Data Exchange'!$Q$481)*100</f>
        <v>0</v>
      </c>
      <c r="F456" s="260">
        <f>('Pivot Table for Data Exchange'!$Q$484)*100</f>
        <v>0</v>
      </c>
      <c r="G456" s="268">
        <f>('Pivot Table for Data Exchange'!$Q$487)*100</f>
        <v>0</v>
      </c>
      <c r="H456" s="260">
        <f>('Pivot Table for Data Exchange'!$Q$490)*100</f>
        <v>0</v>
      </c>
      <c r="I456" s="231"/>
      <c r="J456" s="299"/>
      <c r="K456" s="299"/>
      <c r="L456" s="299"/>
      <c r="M456" s="299"/>
      <c r="N456" s="299"/>
      <c r="O456" s="299"/>
      <c r="P456" s="299"/>
      <c r="Q456" s="265">
        <f t="shared" si="50"/>
        <v>0</v>
      </c>
      <c r="R456" s="265"/>
      <c r="S456" s="314"/>
      <c r="T456" s="314"/>
      <c r="U456" s="314"/>
      <c r="V456" s="314"/>
      <c r="W456" s="314"/>
      <c r="X456" s="314"/>
      <c r="Y456" s="314"/>
      <c r="Z456" s="314"/>
      <c r="AA456" s="314"/>
      <c r="AB456" s="314"/>
      <c r="AC456" s="314"/>
      <c r="AD456" s="314"/>
      <c r="AE456" s="314"/>
      <c r="AF456" s="314"/>
      <c r="AG456" s="314"/>
      <c r="AH456" s="314"/>
      <c r="AI456" s="314"/>
      <c r="AJ456" s="314"/>
      <c r="AK456" s="314"/>
      <c r="AL456" s="314"/>
      <c r="AM456" s="314"/>
      <c r="AN456" s="314"/>
      <c r="AO456" s="314"/>
    </row>
    <row r="457" spans="1:41" ht="15.75" customHeight="1">
      <c r="A457" s="231" t="s">
        <v>680</v>
      </c>
      <c r="B457" s="260">
        <f>('Pivot Table for Data Exchange'!$Q$511)*100</f>
        <v>0</v>
      </c>
      <c r="C457" s="260">
        <f>('Pivot Table for Data Exchange'!$Q$514)*100</f>
        <v>0</v>
      </c>
      <c r="D457" s="261">
        <f>SUM(E457:G457)</f>
        <v>0</v>
      </c>
      <c r="E457" s="260">
        <f>('Pivot Table for Data Exchange'!$Q$517)*100</f>
        <v>0</v>
      </c>
      <c r="F457" s="260">
        <f>('Pivot Table for Data Exchange'!$Q$520)*100</f>
        <v>0</v>
      </c>
      <c r="G457" s="268">
        <f>('Pivot Table for Data Exchange'!$Q$523)*100</f>
        <v>0</v>
      </c>
      <c r="H457" s="260">
        <f>('Pivot Table for Data Exchange'!$Q$526)*100</f>
        <v>0</v>
      </c>
      <c r="I457" s="231"/>
      <c r="J457" s="299"/>
      <c r="K457" s="299"/>
      <c r="L457" s="299"/>
      <c r="M457" s="299"/>
      <c r="N457" s="299"/>
      <c r="O457" s="299"/>
      <c r="P457" s="299"/>
      <c r="Q457" s="265">
        <f t="shared" si="50"/>
        <v>0</v>
      </c>
      <c r="R457" s="265"/>
      <c r="S457" s="314"/>
      <c r="T457" s="314"/>
      <c r="U457" s="314"/>
      <c r="V457" s="314"/>
      <c r="W457" s="314"/>
      <c r="X457" s="314"/>
      <c r="Y457" s="314"/>
      <c r="Z457" s="314"/>
      <c r="AA457" s="314"/>
      <c r="AB457" s="314"/>
      <c r="AC457" s="314"/>
      <c r="AD457" s="314"/>
      <c r="AE457" s="314"/>
      <c r="AF457" s="314"/>
      <c r="AG457" s="314"/>
      <c r="AH457" s="314"/>
      <c r="AI457" s="314"/>
      <c r="AJ457" s="314"/>
      <c r="AK457" s="314"/>
      <c r="AL457" s="314"/>
      <c r="AM457" s="314"/>
      <c r="AN457" s="314"/>
      <c r="AO457" s="314"/>
    </row>
    <row r="458" spans="1:41" ht="15.75" customHeight="1">
      <c r="A458" s="237" t="s">
        <v>681</v>
      </c>
      <c r="B458" s="273">
        <f>('Pivot Table for Data Exchange'!$Q$547)*100</f>
        <v>0</v>
      </c>
      <c r="C458" s="273">
        <f>('Pivot Table for Data Exchange'!$Q$550)*100</f>
        <v>0</v>
      </c>
      <c r="D458" s="274">
        <f>SUM(E458:G458)</f>
        <v>0</v>
      </c>
      <c r="E458" s="273">
        <f>('Pivot Table for Data Exchange'!$Q$553)*100</f>
        <v>0</v>
      </c>
      <c r="F458" s="273">
        <f>('Pivot Table for Data Exchange'!$Q$556)*100</f>
        <v>0</v>
      </c>
      <c r="G458" s="275">
        <f>('Pivot Table for Data Exchange'!$Q$559)*100</f>
        <v>0</v>
      </c>
      <c r="H458" s="273">
        <f>('Pivot Table for Data Exchange'!$Q$562)*100</f>
        <v>0</v>
      </c>
      <c r="I458" s="231"/>
      <c r="J458" s="299"/>
      <c r="K458" s="299"/>
      <c r="L458" s="299"/>
      <c r="M458" s="299"/>
      <c r="N458" s="299"/>
      <c r="O458" s="299"/>
      <c r="P458" s="299"/>
      <c r="Q458" s="265">
        <f t="shared" si="50"/>
        <v>0</v>
      </c>
      <c r="R458" s="265"/>
      <c r="S458" s="314"/>
      <c r="T458" s="314"/>
      <c r="U458" s="314"/>
      <c r="V458" s="314"/>
      <c r="W458" s="314"/>
      <c r="X458" s="314"/>
      <c r="Y458" s="314"/>
      <c r="Z458" s="314"/>
      <c r="AA458" s="314"/>
      <c r="AB458" s="314"/>
      <c r="AC458" s="314"/>
      <c r="AD458" s="314"/>
      <c r="AE458" s="314"/>
      <c r="AF458" s="314"/>
      <c r="AG458" s="314"/>
      <c r="AH458" s="314"/>
      <c r="AI458" s="314"/>
      <c r="AJ458" s="314"/>
      <c r="AK458" s="314"/>
      <c r="AL458" s="314"/>
      <c r="AM458" s="314"/>
      <c r="AN458" s="314"/>
      <c r="AO458" s="314"/>
    </row>
    <row r="459" spans="1:41" s="304" customFormat="1" ht="13.5" customHeight="1">
      <c r="A459" s="279" t="s">
        <v>706</v>
      </c>
      <c r="B459" s="280"/>
      <c r="C459" s="280"/>
      <c r="D459" s="281"/>
      <c r="E459" s="280"/>
      <c r="F459" s="281"/>
      <c r="G459" s="281"/>
      <c r="H459" s="280"/>
      <c r="I459" s="289"/>
      <c r="J459" s="280"/>
      <c r="K459" s="280"/>
      <c r="L459" s="281"/>
      <c r="M459" s="280"/>
      <c r="N459" s="281"/>
      <c r="O459" s="281"/>
      <c r="P459" s="280"/>
      <c r="Q459" s="300"/>
      <c r="R459" s="300"/>
      <c r="S459" s="317"/>
      <c r="T459" s="317"/>
      <c r="U459" s="317"/>
      <c r="V459" s="317"/>
      <c r="W459" s="317"/>
      <c r="X459" s="317"/>
      <c r="Y459" s="317"/>
      <c r="Z459" s="317"/>
      <c r="AA459" s="317"/>
      <c r="AB459" s="317"/>
      <c r="AC459" s="317"/>
      <c r="AD459" s="317"/>
      <c r="AE459" s="317"/>
      <c r="AF459" s="317"/>
      <c r="AG459" s="317"/>
      <c r="AH459" s="317"/>
      <c r="AI459" s="317"/>
      <c r="AJ459" s="317"/>
      <c r="AK459" s="317"/>
      <c r="AL459" s="317"/>
      <c r="AM459" s="317"/>
      <c r="AN459" s="317"/>
      <c r="AO459" s="317"/>
    </row>
    <row r="460" spans="1:41" s="304" customFormat="1" ht="18" customHeight="1">
      <c r="A460" s="289"/>
      <c r="B460" s="280"/>
      <c r="C460" s="280"/>
      <c r="D460" s="281"/>
      <c r="E460" s="280"/>
      <c r="F460" s="281"/>
      <c r="G460" s="281"/>
      <c r="H460" s="280"/>
      <c r="I460" s="289"/>
      <c r="J460" s="280"/>
      <c r="K460" s="280"/>
      <c r="L460" s="281"/>
      <c r="M460" s="280"/>
      <c r="N460" s="281"/>
      <c r="O460" s="281"/>
      <c r="P460" s="280"/>
      <c r="Q460" s="300"/>
      <c r="R460" s="300"/>
      <c r="S460" s="317"/>
      <c r="T460" s="317"/>
      <c r="U460" s="317"/>
      <c r="V460" s="317"/>
      <c r="W460" s="317"/>
      <c r="X460" s="317"/>
      <c r="Y460" s="317"/>
      <c r="Z460" s="317"/>
      <c r="AA460" s="317"/>
      <c r="AB460" s="317"/>
      <c r="AC460" s="317"/>
      <c r="AD460" s="317"/>
      <c r="AE460" s="317"/>
      <c r="AF460" s="317"/>
      <c r="AG460" s="317"/>
      <c r="AH460" s="317"/>
      <c r="AI460" s="317"/>
      <c r="AJ460" s="317"/>
      <c r="AK460" s="317"/>
      <c r="AL460" s="317"/>
      <c r="AM460" s="317"/>
      <c r="AN460" s="317"/>
      <c r="AO460" s="317"/>
    </row>
    <row r="461" spans="1:41" s="304" customFormat="1" ht="13.5" customHeight="1">
      <c r="A461" s="289"/>
      <c r="B461" s="290"/>
      <c r="C461" s="278"/>
      <c r="D461" s="278"/>
      <c r="E461" s="278"/>
      <c r="F461" s="278"/>
      <c r="G461" s="278"/>
      <c r="H461" s="284" t="s">
        <v>839</v>
      </c>
      <c r="I461" s="289"/>
      <c r="J461" s="278"/>
      <c r="K461" s="278"/>
      <c r="L461" s="278"/>
      <c r="M461" s="278"/>
      <c r="N461" s="278"/>
      <c r="O461" s="278"/>
      <c r="P461" s="291"/>
      <c r="Q461" s="308"/>
      <c r="R461" s="301"/>
    </row>
    <row r="462" spans="1:41" s="304" customFormat="1" ht="13.5" customHeight="1">
      <c r="A462" s="289"/>
      <c r="B462" s="278"/>
      <c r="C462" s="278"/>
      <c r="D462" s="278"/>
      <c r="E462" s="278"/>
      <c r="F462" s="278"/>
      <c r="G462" s="278"/>
      <c r="H462" s="278"/>
      <c r="I462" s="289"/>
      <c r="J462" s="278"/>
      <c r="K462" s="278"/>
      <c r="L462" s="278"/>
      <c r="M462" s="278"/>
      <c r="N462" s="278"/>
      <c r="O462" s="278"/>
      <c r="P462" s="278"/>
      <c r="Q462" s="308"/>
      <c r="R462" s="301"/>
    </row>
    <row r="463" spans="1:41" s="304" customFormat="1" ht="13.5" customHeight="1">
      <c r="A463" s="289"/>
      <c r="B463" s="278"/>
      <c r="C463" s="278"/>
      <c r="D463" s="278"/>
      <c r="E463" s="278"/>
      <c r="F463" s="278"/>
      <c r="G463" s="278"/>
      <c r="H463" s="278"/>
      <c r="I463" s="289"/>
      <c r="J463" s="278"/>
      <c r="K463" s="278"/>
      <c r="L463" s="278"/>
      <c r="M463" s="278"/>
      <c r="N463" s="278"/>
      <c r="O463" s="278"/>
      <c r="P463" s="278"/>
      <c r="Q463" s="308"/>
      <c r="R463" s="301"/>
    </row>
  </sheetData>
  <mergeCells count="42">
    <mergeCell ref="D347:G347"/>
    <mergeCell ref="A369:H369"/>
    <mergeCell ref="D378:G378"/>
    <mergeCell ref="D408:G408"/>
    <mergeCell ref="D438:G438"/>
    <mergeCell ref="A338:H338"/>
    <mergeCell ref="D192:G192"/>
    <mergeCell ref="L192:O192"/>
    <mergeCell ref="A214:H214"/>
    <mergeCell ref="I214:P214"/>
    <mergeCell ref="D223:G223"/>
    <mergeCell ref="A245:H245"/>
    <mergeCell ref="D254:G254"/>
    <mergeCell ref="A276:H276"/>
    <mergeCell ref="D285:G285"/>
    <mergeCell ref="A307:H307"/>
    <mergeCell ref="D316:G316"/>
    <mergeCell ref="D131:G131"/>
    <mergeCell ref="L131:O131"/>
    <mergeCell ref="A153:H153"/>
    <mergeCell ref="I153:P153"/>
    <mergeCell ref="D162:G162"/>
    <mergeCell ref="L162:O162"/>
    <mergeCell ref="D70:G70"/>
    <mergeCell ref="L70:O70"/>
    <mergeCell ref="D100:G100"/>
    <mergeCell ref="L100:O100"/>
    <mergeCell ref="A122:H122"/>
    <mergeCell ref="I122:P122"/>
    <mergeCell ref="D39:G39"/>
    <mergeCell ref="L39:O39"/>
    <mergeCell ref="A61:H61"/>
    <mergeCell ref="I61:P61"/>
    <mergeCell ref="A62:H62"/>
    <mergeCell ref="I62:P62"/>
    <mergeCell ref="A30:H30"/>
    <mergeCell ref="I30:P30"/>
    <mergeCell ref="Q2:X2"/>
    <mergeCell ref="D7:G7"/>
    <mergeCell ref="L7:O7"/>
    <mergeCell ref="A28:H28"/>
    <mergeCell ref="I28:P28"/>
  </mergeCells>
  <conditionalFormatting sqref="Q1:R7 Q9:R1048576">
    <cfRule type="cellIs" dxfId="3164" priority="1" stopIfTrue="1" operator="notEqual">
      <formula>100</formula>
    </cfRule>
  </conditionalFormatting>
  <pageMargins left="0.7" right="0.7" top="0.75" bottom="0.75" header="0.3" footer="0.3"/>
  <pageSetup scale="97" firstPageNumber="100" orientation="landscape" useFirstPageNumber="1" r:id="rId1"/>
  <headerFooter>
    <oddHeader>&amp;R&amp;"Arial,Regular"&amp;8SREB-State Data Exchange</oddHeader>
    <oddFooter>&amp;C&amp;"Arial,Regular"&amp;10&amp;P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4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2CB2-8CE9-468D-A283-05219871B5E2}">
  <sheetPr>
    <tabColor theme="5" tint="0.59999389629810485"/>
  </sheetPr>
  <dimension ref="A1:AO532"/>
  <sheetViews>
    <sheetView showZeros="0" view="pageBreakPreview" zoomScaleNormal="100" zoomScaleSheetLayoutView="100" workbookViewId="0">
      <selection activeCell="T29" sqref="T29"/>
    </sheetView>
  </sheetViews>
  <sheetFormatPr defaultColWidth="8.84375" defaultRowHeight="12.5"/>
  <cols>
    <col min="1" max="1" width="10.4609375" style="231" customWidth="1"/>
    <col min="2" max="3" width="7.3046875" style="231" bestFit="1" customWidth="1"/>
    <col min="4" max="4" width="7.69140625" style="231" bestFit="1" customWidth="1"/>
    <col min="5" max="5" width="4.4609375" style="231" bestFit="1" customWidth="1"/>
    <col min="6" max="6" width="8.84375" style="231" customWidth="1"/>
    <col min="7" max="7" width="6.07421875" style="231" bestFit="1" customWidth="1"/>
    <col min="8" max="8" width="9.53515625" style="231" bestFit="1" customWidth="1"/>
    <col min="9" max="9" width="10.07421875" style="297" customWidth="1"/>
    <col min="10" max="11" width="7" style="231" customWidth="1"/>
    <col min="12" max="12" width="7.765625" style="231" bestFit="1" customWidth="1"/>
    <col min="13" max="13" width="5" style="231" bestFit="1" customWidth="1"/>
    <col min="14" max="14" width="8.765625" style="231" customWidth="1"/>
    <col min="15" max="15" width="6.07421875" style="231" bestFit="1" customWidth="1"/>
    <col min="16" max="16" width="9.53515625" style="231" bestFit="1" customWidth="1"/>
    <col min="17" max="17" width="9" style="235" bestFit="1" customWidth="1"/>
    <col min="18" max="18" width="9" style="241" bestFit="1" customWidth="1"/>
    <col min="19" max="16384" width="8.84375" style="231"/>
  </cols>
  <sheetData>
    <row r="1" spans="1:41" ht="18">
      <c r="A1" s="226" t="s">
        <v>685</v>
      </c>
      <c r="B1" s="227"/>
      <c r="C1" s="227"/>
      <c r="D1" s="227"/>
      <c r="E1" s="227"/>
      <c r="F1" s="227"/>
      <c r="G1" s="227"/>
      <c r="H1" s="227"/>
      <c r="I1" s="226" t="s">
        <v>686</v>
      </c>
      <c r="J1" s="228"/>
      <c r="K1" s="228"/>
      <c r="L1" s="227"/>
      <c r="M1" s="228"/>
      <c r="N1" s="228"/>
      <c r="O1" s="228"/>
      <c r="P1" s="228"/>
      <c r="Q1" s="229"/>
      <c r="R1" s="230"/>
    </row>
    <row r="2" spans="1:41" ht="14.5">
      <c r="A2" s="232"/>
      <c r="B2" s="228"/>
      <c r="C2" s="228"/>
      <c r="D2" s="228"/>
      <c r="E2" s="228"/>
      <c r="F2" s="228"/>
      <c r="G2" s="228"/>
      <c r="H2" s="228"/>
      <c r="I2" s="232"/>
      <c r="J2" s="228"/>
      <c r="K2" s="228"/>
      <c r="L2" s="228"/>
      <c r="M2" s="228"/>
      <c r="N2" s="228"/>
      <c r="O2" s="228"/>
      <c r="P2" s="228"/>
      <c r="Q2" s="502"/>
      <c r="R2" s="503"/>
      <c r="S2" s="503"/>
      <c r="T2" s="503"/>
      <c r="U2" s="503"/>
      <c r="V2" s="503"/>
      <c r="W2" s="503"/>
      <c r="X2" s="503"/>
    </row>
    <row r="3" spans="1:41" ht="15.5">
      <c r="A3" s="234" t="s">
        <v>687</v>
      </c>
      <c r="B3" s="228"/>
      <c r="C3" s="228"/>
      <c r="D3" s="228"/>
      <c r="E3" s="228"/>
      <c r="F3" s="228"/>
      <c r="G3" s="228"/>
      <c r="H3" s="228"/>
      <c r="I3" s="234" t="s">
        <v>688</v>
      </c>
      <c r="J3" s="228"/>
      <c r="K3" s="228"/>
      <c r="L3" s="228"/>
      <c r="M3" s="228"/>
      <c r="N3" s="228"/>
      <c r="O3" s="228"/>
      <c r="P3" s="228"/>
      <c r="R3" s="236" t="s">
        <v>581</v>
      </c>
    </row>
    <row r="4" spans="1:41" ht="17.5">
      <c r="A4" s="234" t="s">
        <v>844</v>
      </c>
      <c r="B4" s="228"/>
      <c r="C4" s="228"/>
      <c r="D4" s="228"/>
      <c r="E4" s="228"/>
      <c r="F4" s="228"/>
      <c r="G4" s="228"/>
      <c r="H4" s="228"/>
      <c r="I4" s="234" t="s">
        <v>844</v>
      </c>
      <c r="J4" s="228"/>
      <c r="K4" s="228"/>
      <c r="L4" s="228"/>
      <c r="M4" s="228"/>
      <c r="N4" s="228"/>
      <c r="O4" s="228"/>
      <c r="P4" s="228"/>
      <c r="R4" s="236" t="s">
        <v>581</v>
      </c>
    </row>
    <row r="5" spans="1:41">
      <c r="A5" s="237"/>
      <c r="B5" s="238"/>
      <c r="C5" s="238"/>
      <c r="D5" s="238"/>
      <c r="E5" s="238"/>
      <c r="F5" s="238"/>
      <c r="G5" s="238"/>
      <c r="H5" s="238"/>
      <c r="I5" s="239"/>
      <c r="L5" s="240"/>
      <c r="P5" s="237"/>
    </row>
    <row r="6" spans="1:41" s="247" customFormat="1" ht="11.5">
      <c r="A6" s="242"/>
      <c r="B6" s="243" t="s">
        <v>689</v>
      </c>
      <c r="C6" s="243"/>
      <c r="D6" s="243"/>
      <c r="E6" s="243"/>
      <c r="F6" s="243"/>
      <c r="G6" s="243"/>
      <c r="H6" s="244"/>
      <c r="I6" s="242"/>
      <c r="J6" s="243" t="s">
        <v>689</v>
      </c>
      <c r="K6" s="243"/>
      <c r="L6" s="243"/>
      <c r="M6" s="243"/>
      <c r="N6" s="243"/>
      <c r="O6" s="243"/>
      <c r="P6" s="244"/>
      <c r="Q6" s="245"/>
      <c r="R6" s="246"/>
    </row>
    <row r="7" spans="1:41" s="247" customFormat="1" ht="11.5">
      <c r="A7" s="242"/>
      <c r="B7" s="243" t="s">
        <v>690</v>
      </c>
      <c r="C7" s="243"/>
      <c r="D7" s="485" t="s">
        <v>691</v>
      </c>
      <c r="E7" s="483"/>
      <c r="F7" s="483"/>
      <c r="G7" s="483"/>
      <c r="H7" s="250" t="s">
        <v>581</v>
      </c>
      <c r="I7" s="242"/>
      <c r="J7" s="243" t="s">
        <v>690</v>
      </c>
      <c r="K7" s="243"/>
      <c r="L7" s="485" t="s">
        <v>691</v>
      </c>
      <c r="M7" s="483"/>
      <c r="N7" s="483"/>
      <c r="O7" s="483"/>
      <c r="P7" s="250" t="s">
        <v>581</v>
      </c>
      <c r="Q7" s="245"/>
      <c r="R7" s="246"/>
    </row>
    <row r="8" spans="1:41" s="247" customFormat="1" ht="40.5" customHeight="1">
      <c r="A8" s="242"/>
      <c r="B8" s="251" t="s">
        <v>692</v>
      </c>
      <c r="C8" s="252" t="s">
        <v>693</v>
      </c>
      <c r="D8" s="253" t="s">
        <v>694</v>
      </c>
      <c r="E8" s="254" t="s">
        <v>8</v>
      </c>
      <c r="F8" s="251" t="s">
        <v>695</v>
      </c>
      <c r="G8" s="255" t="s">
        <v>696</v>
      </c>
      <c r="H8" s="256" t="s">
        <v>697</v>
      </c>
      <c r="I8" s="242"/>
      <c r="J8" s="251" t="s">
        <v>692</v>
      </c>
      <c r="K8" s="252" t="s">
        <v>693</v>
      </c>
      <c r="L8" s="253" t="s">
        <v>694</v>
      </c>
      <c r="M8" s="254" t="s">
        <v>8</v>
      </c>
      <c r="N8" s="251" t="s">
        <v>695</v>
      </c>
      <c r="O8" s="255" t="s">
        <v>696</v>
      </c>
      <c r="P8" s="256" t="s">
        <v>697</v>
      </c>
      <c r="Q8" s="257" t="s">
        <v>698</v>
      </c>
      <c r="R8" s="257" t="s">
        <v>698</v>
      </c>
      <c r="S8" s="258"/>
    </row>
    <row r="9" spans="1:41" ht="15.75" customHeight="1">
      <c r="A9" s="259" t="s">
        <v>666</v>
      </c>
      <c r="B9" s="260">
        <f>('Pivot Table for Data Exchange'!$J$6)*100</f>
        <v>82.788968098718556</v>
      </c>
      <c r="C9" s="260">
        <f>('Pivot Table for Data Exchange'!$J$9)*100</f>
        <v>0.49157383838466506</v>
      </c>
      <c r="D9" s="261">
        <f>SUM(E9:G9)</f>
        <v>16.719458062896788</v>
      </c>
      <c r="E9" s="260">
        <f>('Pivot Table for Data Exchange'!$J$12)*100</f>
        <v>16.420634206096519</v>
      </c>
      <c r="F9" s="260">
        <f>('Pivot Table for Data Exchange'!$J$15)*100</f>
        <v>4.1523775225966279E-2</v>
      </c>
      <c r="G9" s="262">
        <f>('Pivot Table for Data Exchange'!$J$18)*100</f>
        <v>0.25730008157430218</v>
      </c>
      <c r="H9" s="260">
        <f>('Pivot Table for Data Exchange'!$J$21)*100</f>
        <v>0</v>
      </c>
      <c r="I9" s="263" t="s">
        <v>666</v>
      </c>
      <c r="J9" s="260">
        <f>('Pivot Table for Data Exchange'!$J$24)*100</f>
        <v>57.143942754801927</v>
      </c>
      <c r="K9" s="260">
        <f>('Pivot Table for Data Exchange'!$J$27)*100</f>
        <v>1.792404002563218</v>
      </c>
      <c r="L9" s="261">
        <f>SUM(M9:O9)</f>
        <v>41.063653242634857</v>
      </c>
      <c r="M9" s="260">
        <f>('Pivot Table for Data Exchange'!$J$30)*100</f>
        <v>40.686564466571369</v>
      </c>
      <c r="N9" s="260">
        <f>('Pivot Table for Data Exchange'!$J$33)*100</f>
        <v>8.7494454576822603E-2</v>
      </c>
      <c r="O9" s="264">
        <f>('Pivot Table for Data Exchange'!$J$36)*100</f>
        <v>0.28959432148666631</v>
      </c>
      <c r="P9" s="260">
        <f>('Pivot Table for Data Exchange'!$J$39)*100</f>
        <v>0</v>
      </c>
      <c r="Q9" s="265">
        <f>SUM(B9,C9,D9,H9)</f>
        <v>100.00000000000001</v>
      </c>
      <c r="R9" s="265">
        <f>SUM(J9,K9,L9,P9)</f>
        <v>100</v>
      </c>
      <c r="S9" s="266"/>
      <c r="T9" s="247"/>
      <c r="U9" s="247"/>
      <c r="V9" s="247"/>
      <c r="W9" s="247"/>
      <c r="X9" s="247"/>
      <c r="Y9" s="247"/>
      <c r="Z9" s="247"/>
      <c r="AA9" s="247"/>
      <c r="AB9" s="247"/>
      <c r="AC9" s="247"/>
      <c r="AD9" s="247"/>
      <c r="AE9" s="247"/>
      <c r="AF9" s="247"/>
      <c r="AG9" s="266"/>
      <c r="AH9" s="266"/>
      <c r="AI9" s="266"/>
      <c r="AJ9" s="266"/>
      <c r="AK9" s="266"/>
      <c r="AL9" s="266"/>
      <c r="AM9" s="266"/>
      <c r="AN9" s="266"/>
      <c r="AO9" s="266"/>
    </row>
    <row r="10" spans="1:41" ht="15.75" customHeight="1">
      <c r="A10" s="231" t="s">
        <v>667</v>
      </c>
      <c r="B10" s="260">
        <f>('Pivot Table for Data Exchange'!$J$42)*100</f>
        <v>75.675035017778256</v>
      </c>
      <c r="C10" s="260">
        <f>('Pivot Table for Data Exchange'!$J$45)*100</f>
        <v>4.6858237727381322</v>
      </c>
      <c r="D10" s="261">
        <f t="shared" ref="D10:D26" si="0">SUM(E10:G10)</f>
        <v>19.404159034586794</v>
      </c>
      <c r="E10" s="260">
        <f>('Pivot Table for Data Exchange'!$J$48)*100</f>
        <v>19.177140769126268</v>
      </c>
      <c r="F10" s="260">
        <f>('Pivot Table for Data Exchange'!$J$51)*100</f>
        <v>0.13416845073853548</v>
      </c>
      <c r="G10" s="267">
        <f>('Pivot Table for Data Exchange'!$J$54)*100</f>
        <v>9.2849814721989291E-2</v>
      </c>
      <c r="H10" s="260">
        <f>('Pivot Table for Data Exchange'!$J$57)*100</f>
        <v>0.23498217489682055</v>
      </c>
      <c r="I10" s="266" t="s">
        <v>667</v>
      </c>
      <c r="J10" s="260">
        <f>('Pivot Table for Data Exchange'!$J$60)*100</f>
        <v>44.341430872614261</v>
      </c>
      <c r="K10" s="260">
        <f>('Pivot Table for Data Exchange'!$J$63)*100</f>
        <v>1.2889894075725281</v>
      </c>
      <c r="L10" s="261">
        <f t="shared" ref="L10:L26" si="1">SUM(M10:O10)</f>
        <v>54.298963536666726</v>
      </c>
      <c r="M10" s="260">
        <f>('Pivot Table for Data Exchange'!$J$66)*100</f>
        <v>52.674791324297502</v>
      </c>
      <c r="N10" s="260">
        <f>('Pivot Table for Data Exchange'!$J$69)*100</f>
        <v>1.3924730308010218</v>
      </c>
      <c r="O10" s="268">
        <f>('Pivot Table for Data Exchange'!$J$72)*100</f>
        <v>0.23169918156819994</v>
      </c>
      <c r="P10" s="269">
        <f>('Pivot Table for Data Exchange'!$J$75)*100</f>
        <v>7.0616183146487904E-2</v>
      </c>
      <c r="Q10" s="265">
        <f>SUM(B10,C10,D10,H10)</f>
        <v>100</v>
      </c>
      <c r="R10" s="265">
        <f t="shared" ref="R10:R74" si="2">SUM(J10,K10,L10,P10)</f>
        <v>100</v>
      </c>
      <c r="S10" s="266"/>
      <c r="T10" s="247"/>
      <c r="U10" s="247"/>
      <c r="V10" s="247"/>
      <c r="W10" s="247"/>
      <c r="X10" s="247"/>
      <c r="Y10" s="247"/>
      <c r="Z10" s="247"/>
      <c r="AA10" s="247"/>
      <c r="AB10" s="247"/>
      <c r="AC10" s="247"/>
      <c r="AD10" s="247"/>
      <c r="AE10" s="247"/>
      <c r="AF10" s="247"/>
      <c r="AG10" s="266"/>
      <c r="AH10" s="266"/>
      <c r="AI10" s="266"/>
      <c r="AJ10" s="266"/>
      <c r="AK10" s="266"/>
      <c r="AL10" s="266"/>
      <c r="AM10" s="266"/>
      <c r="AN10" s="266"/>
      <c r="AO10" s="266"/>
    </row>
    <row r="11" spans="1:41" ht="15.75" customHeight="1">
      <c r="A11" s="231" t="s">
        <v>668</v>
      </c>
      <c r="B11" s="260">
        <f>('Pivot Table for Data Exchange'!$J$78)*100</f>
        <v>95.422069475442612</v>
      </c>
      <c r="C11" s="260">
        <f>('Pivot Table for Data Exchange'!$J$81)*100</f>
        <v>0</v>
      </c>
      <c r="D11" s="261">
        <f t="shared" si="0"/>
        <v>4.5779305245573925</v>
      </c>
      <c r="E11" s="260">
        <f>('Pivot Table for Data Exchange'!$J$84)*100</f>
        <v>4.5779305245573925</v>
      </c>
      <c r="F11" s="260">
        <f>('Pivot Table for Data Exchange'!$J$87)*100</f>
        <v>0</v>
      </c>
      <c r="G11" s="268">
        <f>('Pivot Table for Data Exchange'!$J$90)*100</f>
        <v>0</v>
      </c>
      <c r="H11" s="260">
        <f>('Pivot Table for Data Exchange'!$J$93)*100</f>
        <v>0</v>
      </c>
      <c r="I11" s="266" t="s">
        <v>668</v>
      </c>
      <c r="J11" s="260">
        <f>('Pivot Table for Data Exchange'!$J$96)*100</f>
        <v>85.473697410495959</v>
      </c>
      <c r="K11" s="260">
        <f>('Pivot Table for Data Exchange'!$J$99)*100</f>
        <v>0</v>
      </c>
      <c r="L11" s="261">
        <f t="shared" si="1"/>
        <v>14.526302589504045</v>
      </c>
      <c r="M11" s="260">
        <f>('Pivot Table for Data Exchange'!$J$102)*100</f>
        <v>14.526302589504045</v>
      </c>
      <c r="N11" s="260">
        <f>('Pivot Table for Data Exchange'!$J$105)*100</f>
        <v>0</v>
      </c>
      <c r="O11" s="268">
        <f>('Pivot Table for Data Exchange'!$J$108)*100</f>
        <v>0</v>
      </c>
      <c r="P11" s="260">
        <f>('Pivot Table for Data Exchange'!$J$111)*100</f>
        <v>0</v>
      </c>
      <c r="Q11" s="265">
        <f t="shared" ref="Q11:Q74" si="3">SUM(B11,C11,D11,H11)</f>
        <v>100</v>
      </c>
      <c r="R11" s="265">
        <f t="shared" si="2"/>
        <v>100</v>
      </c>
      <c r="S11" s="266"/>
      <c r="T11" s="247"/>
      <c r="U11" s="247"/>
      <c r="V11" s="247"/>
      <c r="W11" s="247"/>
      <c r="X11" s="247"/>
      <c r="Y11" s="247"/>
      <c r="Z11" s="247"/>
      <c r="AA11" s="247"/>
      <c r="AB11" s="247"/>
      <c r="AC11" s="247"/>
      <c r="AD11" s="247"/>
      <c r="AE11" s="247"/>
      <c r="AF11" s="247"/>
      <c r="AG11" s="266"/>
      <c r="AH11" s="266"/>
      <c r="AI11" s="266"/>
      <c r="AJ11" s="266"/>
      <c r="AK11" s="266"/>
      <c r="AL11" s="266"/>
      <c r="AM11" s="266"/>
      <c r="AN11" s="266"/>
      <c r="AO11" s="266"/>
    </row>
    <row r="12" spans="1:41" ht="15.75" customHeight="1">
      <c r="A12" s="231" t="s">
        <v>699</v>
      </c>
      <c r="B12" s="260">
        <f>('Pivot Table for Data Exchange'!$J$114)*100</f>
        <v>0</v>
      </c>
      <c r="C12" s="260">
        <f>('Pivot Table for Data Exchange'!$J$117)*100</f>
        <v>0</v>
      </c>
      <c r="D12" s="261">
        <f t="shared" si="0"/>
        <v>0</v>
      </c>
      <c r="E12" s="260">
        <f>('Pivot Table for Data Exchange'!$J$120)*100</f>
        <v>0</v>
      </c>
      <c r="F12" s="260">
        <f>('Pivot Table for Data Exchange'!$J$123)*100</f>
        <v>0</v>
      </c>
      <c r="G12" s="270">
        <f>('Pivot Table for Data Exchange'!$J$126)*100</f>
        <v>0</v>
      </c>
      <c r="H12" s="260">
        <f>('Pivot Table for Data Exchange'!$J$129)*100</f>
        <v>0</v>
      </c>
      <c r="I12" s="266" t="s">
        <v>699</v>
      </c>
      <c r="J12" s="260">
        <f>('Pivot Table for Data Exchange'!$J$132)*100</f>
        <v>0</v>
      </c>
      <c r="K12" s="260">
        <f>('Pivot Table for Data Exchange'!$J$135)*100</f>
        <v>0</v>
      </c>
      <c r="L12" s="261">
        <f t="shared" si="1"/>
        <v>0</v>
      </c>
      <c r="M12" s="260">
        <f>('Pivot Table for Data Exchange'!$J$138)*100</f>
        <v>0</v>
      </c>
      <c r="N12" s="260">
        <f>('Pivot Table for Data Exchange'!$J$141)*100</f>
        <v>0</v>
      </c>
      <c r="O12" s="267">
        <f>('Pivot Table for Data Exchange'!$J$144)*100</f>
        <v>0</v>
      </c>
      <c r="P12" s="260">
        <f>('Pivot Table for Data Exchange'!$J$147)*100</f>
        <v>0</v>
      </c>
      <c r="Q12" s="265">
        <f t="shared" si="3"/>
        <v>0</v>
      </c>
      <c r="R12" s="265">
        <f t="shared" si="2"/>
        <v>0</v>
      </c>
      <c r="S12" s="266"/>
      <c r="T12" s="247"/>
      <c r="U12" s="247"/>
      <c r="V12" s="247"/>
      <c r="W12" s="247"/>
      <c r="X12" s="247"/>
      <c r="Y12" s="247"/>
      <c r="Z12" s="247"/>
      <c r="AA12" s="247"/>
      <c r="AB12" s="247"/>
      <c r="AC12" s="247"/>
      <c r="AD12" s="247"/>
      <c r="AE12" s="247"/>
      <c r="AF12" s="247"/>
      <c r="AG12" s="266"/>
      <c r="AH12" s="266"/>
      <c r="AI12" s="266"/>
      <c r="AJ12" s="266"/>
      <c r="AK12" s="266"/>
      <c r="AL12" s="266"/>
      <c r="AM12" s="266"/>
      <c r="AN12" s="266"/>
      <c r="AO12" s="266"/>
    </row>
    <row r="13" spans="1:41" ht="9.75" customHeight="1">
      <c r="B13" s="260"/>
      <c r="C13" s="260"/>
      <c r="D13" s="261"/>
      <c r="E13" s="260"/>
      <c r="F13" s="260"/>
      <c r="G13" s="268"/>
      <c r="H13" s="260"/>
      <c r="I13" s="266"/>
      <c r="J13" s="260"/>
      <c r="K13" s="260"/>
      <c r="L13" s="261"/>
      <c r="M13" s="260"/>
      <c r="N13" s="260"/>
      <c r="O13" s="268"/>
      <c r="P13" s="260"/>
      <c r="Q13" s="265">
        <f t="shared" si="3"/>
        <v>0</v>
      </c>
      <c r="R13" s="265">
        <f t="shared" si="2"/>
        <v>0</v>
      </c>
      <c r="S13" s="266"/>
      <c r="T13" s="247"/>
      <c r="U13" s="247"/>
      <c r="V13" s="247"/>
      <c r="W13" s="247"/>
      <c r="X13" s="247"/>
      <c r="Y13" s="247"/>
      <c r="Z13" s="247"/>
      <c r="AA13" s="247"/>
      <c r="AB13" s="247"/>
      <c r="AC13" s="247"/>
      <c r="AD13" s="247"/>
      <c r="AE13" s="247"/>
      <c r="AF13" s="247"/>
      <c r="AG13" s="266"/>
      <c r="AH13" s="266"/>
      <c r="AI13" s="266"/>
      <c r="AJ13" s="266"/>
      <c r="AK13" s="266"/>
      <c r="AL13" s="266"/>
      <c r="AM13" s="266"/>
      <c r="AN13" s="266"/>
      <c r="AO13" s="266"/>
    </row>
    <row r="14" spans="1:41" ht="15.75" customHeight="1">
      <c r="A14" s="231" t="s">
        <v>670</v>
      </c>
      <c r="B14" s="260">
        <f>('Pivot Table for Data Exchange'!$J$150)*100</f>
        <v>80.641022446906206</v>
      </c>
      <c r="C14" s="260">
        <f>('Pivot Table for Data Exchange'!$J$153)*100</f>
        <v>1.7055793200214393</v>
      </c>
      <c r="D14" s="261">
        <f t="shared" si="0"/>
        <v>17.653398233072355</v>
      </c>
      <c r="E14" s="260">
        <f>('Pivot Table for Data Exchange'!$J$156)*100</f>
        <v>17.607840963873276</v>
      </c>
      <c r="F14" s="260">
        <f>('Pivot Table for Data Exchange'!$J$159)*100</f>
        <v>2.5073930688014275E-2</v>
      </c>
      <c r="G14" s="268">
        <f>('Pivot Table for Data Exchange'!$J$162)*100</f>
        <v>2.0483338511066124E-2</v>
      </c>
      <c r="H14" s="260">
        <f>('Pivot Table for Data Exchange'!$J$165)*100</f>
        <v>0</v>
      </c>
      <c r="I14" s="266" t="s">
        <v>670</v>
      </c>
      <c r="J14" s="260">
        <f>('Pivot Table for Data Exchange'!$J$168)*100</f>
        <v>65.018995243509607</v>
      </c>
      <c r="K14" s="260">
        <f>('Pivot Table for Data Exchange'!$J$171)*100</f>
        <v>11.134863562681975</v>
      </c>
      <c r="L14" s="261">
        <f t="shared" si="1"/>
        <v>23.846141193808418</v>
      </c>
      <c r="M14" s="260">
        <f>('Pivot Table for Data Exchange'!$J$174)*100</f>
        <v>23.840508300293912</v>
      </c>
      <c r="N14" s="260">
        <f>('Pivot Table for Data Exchange'!$J$177)*100</f>
        <v>1.1265787029008426E-3</v>
      </c>
      <c r="O14" s="268">
        <f>('Pivot Table for Data Exchange'!$J$180)*100</f>
        <v>4.5063148116033704E-3</v>
      </c>
      <c r="P14" s="260">
        <f>('Pivot Table for Data Exchange'!$J$183)*100</f>
        <v>0</v>
      </c>
      <c r="Q14" s="265">
        <f t="shared" si="3"/>
        <v>100</v>
      </c>
      <c r="R14" s="265">
        <f t="shared" si="2"/>
        <v>100</v>
      </c>
      <c r="S14" s="266"/>
      <c r="T14" s="247"/>
      <c r="U14" s="247"/>
      <c r="V14" s="247"/>
      <c r="W14" s="247"/>
      <c r="X14" s="247"/>
      <c r="Y14" s="247"/>
      <c r="Z14" s="247"/>
      <c r="AA14" s="247"/>
      <c r="AB14" s="247"/>
      <c r="AC14" s="247"/>
      <c r="AD14" s="247"/>
      <c r="AE14" s="247"/>
      <c r="AF14" s="247"/>
      <c r="AG14" s="266"/>
      <c r="AH14" s="266"/>
      <c r="AI14" s="266"/>
      <c r="AJ14" s="266"/>
      <c r="AK14" s="266"/>
      <c r="AL14" s="266"/>
      <c r="AM14" s="266"/>
      <c r="AN14" s="266"/>
      <c r="AO14" s="266"/>
    </row>
    <row r="15" spans="1:41" ht="15.75" customHeight="1">
      <c r="A15" s="231" t="s">
        <v>671</v>
      </c>
      <c r="B15" s="260">
        <f>('Pivot Table for Data Exchange'!$J$186)*100</f>
        <v>78.118775184404427</v>
      </c>
      <c r="C15" s="260">
        <f>('Pivot Table for Data Exchange'!$J$189)*100</f>
        <v>4.4307961693500495</v>
      </c>
      <c r="D15" s="261">
        <f t="shared" si="0"/>
        <v>17.450428646245534</v>
      </c>
      <c r="E15" s="260">
        <f>('Pivot Table for Data Exchange'!$J$192)*100</f>
        <v>16.578657538099691</v>
      </c>
      <c r="F15" s="260">
        <f>('Pivot Table for Data Exchange'!$J$195)*100</f>
        <v>0.82471560263284605</v>
      </c>
      <c r="G15" s="267">
        <f>('Pivot Table for Data Exchange'!$J$198)*100</f>
        <v>4.7055505512997385E-2</v>
      </c>
      <c r="H15" s="260">
        <f>('Pivot Table for Data Exchange'!$J$201)*100</f>
        <v>0</v>
      </c>
      <c r="I15" s="266" t="s">
        <v>671</v>
      </c>
      <c r="J15" s="260">
        <f>('Pivot Table for Data Exchange'!$J$204)*100</f>
        <v>58.0734732080181</v>
      </c>
      <c r="K15" s="260">
        <f>('Pivot Table for Data Exchange'!$J$207)*100</f>
        <v>3.5092426487793462</v>
      </c>
      <c r="L15" s="261">
        <f t="shared" si="1"/>
        <v>38.417284143202551</v>
      </c>
      <c r="M15" s="260">
        <f>('Pivot Table for Data Exchange'!$J$210)*100</f>
        <v>38.01045160283909</v>
      </c>
      <c r="N15" s="260">
        <f>('Pivot Table for Data Exchange'!$J$213)*100</f>
        <v>0.315732002183917</v>
      </c>
      <c r="O15" s="267">
        <f>('Pivot Table for Data Exchange'!$J$216)*100</f>
        <v>9.1100538179549176E-2</v>
      </c>
      <c r="P15" s="260">
        <f>('Pivot Table for Data Exchange'!$J$219)*100</f>
        <v>0</v>
      </c>
      <c r="Q15" s="265">
        <f t="shared" si="3"/>
        <v>100</v>
      </c>
      <c r="R15" s="265">
        <f t="shared" si="2"/>
        <v>100</v>
      </c>
      <c r="S15" s="266"/>
      <c r="T15" s="247"/>
      <c r="U15" s="247"/>
      <c r="V15" s="247"/>
      <c r="W15" s="247"/>
      <c r="X15" s="247"/>
      <c r="Y15" s="247"/>
      <c r="Z15" s="247"/>
      <c r="AA15" s="247"/>
      <c r="AB15" s="247"/>
      <c r="AC15" s="247"/>
      <c r="AD15" s="247"/>
      <c r="AE15" s="247"/>
      <c r="AF15" s="247"/>
      <c r="AG15" s="266"/>
      <c r="AH15" s="266"/>
      <c r="AI15" s="266"/>
      <c r="AJ15" s="266"/>
      <c r="AK15" s="266"/>
      <c r="AL15" s="266"/>
      <c r="AM15" s="266"/>
      <c r="AN15" s="266"/>
      <c r="AO15" s="266"/>
    </row>
    <row r="16" spans="1:41" ht="15.75" customHeight="1">
      <c r="A16" s="231" t="s">
        <v>672</v>
      </c>
      <c r="B16" s="260">
        <f>('Pivot Table for Data Exchange'!$J$222)*100</f>
        <v>84.046850485491746</v>
      </c>
      <c r="C16" s="260">
        <f>('Pivot Table for Data Exchange'!$J$225)*100</f>
        <v>0</v>
      </c>
      <c r="D16" s="261">
        <f t="shared" si="0"/>
        <v>15.953149514508253</v>
      </c>
      <c r="E16" s="260">
        <f>('Pivot Table for Data Exchange'!$J$228)*100</f>
        <v>15.953149514508253</v>
      </c>
      <c r="F16" s="260">
        <f>('Pivot Table for Data Exchange'!$J$231)*100</f>
        <v>0</v>
      </c>
      <c r="G16" s="268">
        <f>('Pivot Table for Data Exchange'!$J$234)*100</f>
        <v>0</v>
      </c>
      <c r="H16" s="260">
        <f>('Pivot Table for Data Exchange'!$J$237)*100</f>
        <v>0</v>
      </c>
      <c r="I16" s="266" t="s">
        <v>672</v>
      </c>
      <c r="J16" s="260">
        <f>('Pivot Table for Data Exchange'!$J$240)*100</f>
        <v>72.327921571220159</v>
      </c>
      <c r="K16" s="260">
        <f>('Pivot Table for Data Exchange'!$J$243)*100</f>
        <v>0</v>
      </c>
      <c r="L16" s="261">
        <f t="shared" si="1"/>
        <v>27.672078428779823</v>
      </c>
      <c r="M16" s="260">
        <f>('Pivot Table for Data Exchange'!$J$246)*100</f>
        <v>27.532551416142958</v>
      </c>
      <c r="N16" s="260">
        <f>('Pivot Table for Data Exchange'!$J$249)*100</f>
        <v>0</v>
      </c>
      <c r="O16" s="268">
        <f>('Pivot Table for Data Exchange'!$J$252)*100</f>
        <v>0.13952701263686498</v>
      </c>
      <c r="P16" s="260">
        <f>('Pivot Table for Data Exchange'!$J$255)*100</f>
        <v>0</v>
      </c>
      <c r="Q16" s="265">
        <f t="shared" si="3"/>
        <v>100</v>
      </c>
      <c r="R16" s="265">
        <f t="shared" si="2"/>
        <v>99.999999999999986</v>
      </c>
      <c r="S16" s="266"/>
      <c r="T16" s="247"/>
      <c r="U16" s="247"/>
      <c r="V16" s="247"/>
      <c r="W16" s="247"/>
      <c r="X16" s="247"/>
      <c r="Y16" s="247"/>
      <c r="Z16" s="247"/>
      <c r="AA16" s="247"/>
      <c r="AB16" s="247"/>
      <c r="AC16" s="247"/>
      <c r="AD16" s="247"/>
      <c r="AE16" s="247"/>
      <c r="AF16" s="247"/>
      <c r="AG16" s="266"/>
      <c r="AH16" s="266"/>
      <c r="AI16" s="266"/>
      <c r="AJ16" s="266"/>
      <c r="AK16" s="266"/>
      <c r="AL16" s="266"/>
      <c r="AM16" s="266"/>
      <c r="AN16" s="266"/>
      <c r="AO16" s="266"/>
    </row>
    <row r="17" spans="1:41" ht="15.75" customHeight="1">
      <c r="A17" s="231" t="s">
        <v>673</v>
      </c>
      <c r="B17" s="260">
        <f>('Pivot Table for Data Exchange'!$J$258)*100</f>
        <v>66.938852658013289</v>
      </c>
      <c r="C17" s="260">
        <f>('Pivot Table for Data Exchange'!$J$261)*100</f>
        <v>2.6181659546404963</v>
      </c>
      <c r="D17" s="261">
        <f t="shared" si="0"/>
        <v>30.442981387346215</v>
      </c>
      <c r="E17" s="260">
        <f>('Pivot Table for Data Exchange'!$J$264)*100</f>
        <v>30.222798583786481</v>
      </c>
      <c r="F17" s="260">
        <f>('Pivot Table for Data Exchange'!$J$267)*100</f>
        <v>0.22018280355973321</v>
      </c>
      <c r="G17" s="268">
        <f>('Pivot Table for Data Exchange'!$J$270)*100</f>
        <v>0</v>
      </c>
      <c r="H17" s="260">
        <f>('Pivot Table for Data Exchange'!$J$273)*100</f>
        <v>0</v>
      </c>
      <c r="I17" s="266" t="s">
        <v>673</v>
      </c>
      <c r="J17" s="260">
        <f>('Pivot Table for Data Exchange'!$J$276)*100</f>
        <v>45.942735817843818</v>
      </c>
      <c r="K17" s="260">
        <f>('Pivot Table for Data Exchange'!$J$279)*100</f>
        <v>6.2439650610257784</v>
      </c>
      <c r="L17" s="261">
        <f t="shared" si="1"/>
        <v>47.813299121130399</v>
      </c>
      <c r="M17" s="260">
        <f>('Pivot Table for Data Exchange'!$J$282)*100</f>
        <v>47.140797655289838</v>
      </c>
      <c r="N17" s="260">
        <f>('Pivot Table for Data Exchange'!$J$285)*100</f>
        <v>0.67250146584055936</v>
      </c>
      <c r="O17" s="268">
        <f>('Pivot Table for Data Exchange'!$J$288)*100</f>
        <v>0</v>
      </c>
      <c r="P17" s="260">
        <f>('Pivot Table for Data Exchange'!$J$291)*100</f>
        <v>0</v>
      </c>
      <c r="Q17" s="265">
        <f t="shared" si="3"/>
        <v>100</v>
      </c>
      <c r="R17" s="265">
        <f>SUM(J17,K17,L17,P17)</f>
        <v>100</v>
      </c>
      <c r="S17" s="266"/>
      <c r="T17" s="247"/>
      <c r="U17" s="247"/>
      <c r="V17" s="247"/>
      <c r="W17" s="247"/>
      <c r="X17" s="247"/>
      <c r="Y17" s="247"/>
      <c r="Z17" s="247"/>
      <c r="AA17" s="247"/>
      <c r="AB17" s="247"/>
      <c r="AC17" s="247"/>
      <c r="AD17" s="247"/>
      <c r="AE17" s="247"/>
      <c r="AF17" s="247"/>
      <c r="AG17" s="266"/>
      <c r="AH17" s="266"/>
      <c r="AI17" s="266"/>
      <c r="AJ17" s="266"/>
      <c r="AK17" s="266"/>
      <c r="AL17" s="266"/>
      <c r="AM17" s="266"/>
      <c r="AN17" s="266"/>
      <c r="AO17" s="266"/>
    </row>
    <row r="18" spans="1:41" ht="11.25" customHeight="1">
      <c r="B18" s="260"/>
      <c r="C18" s="260"/>
      <c r="D18" s="261"/>
      <c r="E18" s="260"/>
      <c r="F18" s="260"/>
      <c r="G18" s="268"/>
      <c r="H18" s="260"/>
      <c r="I18" s="266"/>
      <c r="J18" s="260"/>
      <c r="K18" s="260"/>
      <c r="L18" s="261"/>
      <c r="M18" s="260"/>
      <c r="N18" s="260"/>
      <c r="O18" s="268"/>
      <c r="P18" s="260"/>
      <c r="Q18" s="265">
        <f t="shared" si="3"/>
        <v>0</v>
      </c>
      <c r="R18" s="265">
        <f t="shared" si="2"/>
        <v>0</v>
      </c>
      <c r="S18" s="266"/>
      <c r="T18" s="247"/>
      <c r="U18" s="247"/>
      <c r="V18" s="247"/>
      <c r="W18" s="247"/>
      <c r="X18" s="247"/>
      <c r="Y18" s="247"/>
      <c r="Z18" s="247"/>
      <c r="AA18" s="247"/>
      <c r="AB18" s="247"/>
      <c r="AC18" s="247"/>
      <c r="AD18" s="247"/>
      <c r="AE18" s="247"/>
      <c r="AF18" s="247"/>
      <c r="AG18" s="266"/>
      <c r="AH18" s="266"/>
      <c r="AI18" s="266"/>
      <c r="AJ18" s="266"/>
      <c r="AK18" s="266"/>
      <c r="AL18" s="266"/>
      <c r="AM18" s="266"/>
      <c r="AN18" s="266"/>
      <c r="AO18" s="266"/>
    </row>
    <row r="19" spans="1:41" ht="15.75" customHeight="1">
      <c r="A19" s="231" t="s">
        <v>674</v>
      </c>
      <c r="B19" s="260">
        <f>('Pivot Table for Data Exchange'!$J$294)*100</f>
        <v>76.687872402306397</v>
      </c>
      <c r="C19" s="260">
        <f>('Pivot Table for Data Exchange'!$J$297)*100</f>
        <v>4.2349122668549377</v>
      </c>
      <c r="D19" s="261">
        <f t="shared" si="0"/>
        <v>18.791402811309673</v>
      </c>
      <c r="E19" s="260">
        <f>('Pivot Table for Data Exchange'!$J$300)*100</f>
        <v>18.043381658912732</v>
      </c>
      <c r="F19" s="260">
        <f>('Pivot Table for Data Exchange'!$J$303)*100</f>
        <v>0.74704808159090585</v>
      </c>
      <c r="G19" s="271">
        <f>('Pivot Table for Data Exchange'!$J$306)*100</f>
        <v>9.7307080603779622E-4</v>
      </c>
      <c r="H19" s="260">
        <f>('Pivot Table for Data Exchange'!$J$309)*100</f>
        <v>0.28581251952899051</v>
      </c>
      <c r="I19" s="266" t="s">
        <v>674</v>
      </c>
      <c r="J19" s="260">
        <f>('Pivot Table for Data Exchange'!$J$312)*100</f>
        <v>59.360832037389024</v>
      </c>
      <c r="K19" s="260">
        <f>('Pivot Table for Data Exchange'!$J$315)*100</f>
        <v>5.1858343001489313</v>
      </c>
      <c r="L19" s="261">
        <f t="shared" si="1"/>
        <v>35.396970370187518</v>
      </c>
      <c r="M19" s="260">
        <f>('Pivot Table for Data Exchange'!$J$318)*100</f>
        <v>34.617346728871993</v>
      </c>
      <c r="N19" s="260">
        <f>('Pivot Table for Data Exchange'!$J$321)*100</f>
        <v>0.76851554721762816</v>
      </c>
      <c r="O19" s="267">
        <f>('Pivot Table for Data Exchange'!$J$324)*100</f>
        <v>1.1108094097899337E-2</v>
      </c>
      <c r="P19" s="260">
        <f>('Pivot Table for Data Exchange'!$J$327)*100</f>
        <v>5.6363292274526258E-2</v>
      </c>
      <c r="Q19" s="265">
        <f t="shared" si="3"/>
        <v>99.999999999999986</v>
      </c>
      <c r="R19" s="265">
        <f t="shared" si="2"/>
        <v>100</v>
      </c>
      <c r="S19" s="266"/>
      <c r="T19" s="247"/>
      <c r="U19" s="247"/>
      <c r="V19" s="247"/>
      <c r="W19" s="247"/>
      <c r="X19" s="247"/>
      <c r="Y19" s="247"/>
      <c r="Z19" s="247"/>
      <c r="AA19" s="247"/>
      <c r="AB19" s="247"/>
      <c r="AC19" s="247"/>
      <c r="AD19" s="247"/>
      <c r="AE19" s="247"/>
      <c r="AF19" s="247"/>
      <c r="AG19" s="266"/>
      <c r="AH19" s="266"/>
      <c r="AI19" s="266"/>
      <c r="AJ19" s="266"/>
      <c r="AK19" s="266"/>
      <c r="AL19" s="266"/>
      <c r="AM19" s="266"/>
      <c r="AN19" s="266"/>
      <c r="AO19" s="266"/>
    </row>
    <row r="20" spans="1:41" ht="15.75" customHeight="1">
      <c r="A20" s="231" t="s">
        <v>675</v>
      </c>
      <c r="B20" s="260">
        <f>('Pivot Table for Data Exchange'!$J$330)*100</f>
        <v>82.285708198652642</v>
      </c>
      <c r="C20" s="260">
        <f>('Pivot Table for Data Exchange'!$J$333)*100</f>
        <v>0.74925321364817465</v>
      </c>
      <c r="D20" s="261">
        <f t="shared" si="0"/>
        <v>16.96503858769918</v>
      </c>
      <c r="E20" s="260">
        <f>('Pivot Table for Data Exchange'!$J$336)*100</f>
        <v>16.693964112393214</v>
      </c>
      <c r="F20" s="272">
        <f>('Pivot Table for Data Exchange'!$J$339)*100</f>
        <v>6.5969865413999212E-2</v>
      </c>
      <c r="G20" s="267">
        <f>('Pivot Table for Data Exchange'!$J$342)*100</f>
        <v>0.20510460989196641</v>
      </c>
      <c r="H20" s="260">
        <f>('Pivot Table for Data Exchange'!$J$345)*100</f>
        <v>0</v>
      </c>
      <c r="I20" s="266" t="s">
        <v>675</v>
      </c>
      <c r="J20" s="260">
        <f>('Pivot Table for Data Exchange'!$J$348)*100</f>
        <v>68.509202967970822</v>
      </c>
      <c r="K20" s="260">
        <f>('Pivot Table for Data Exchange'!$J$351)*100</f>
        <v>2.6369821015962982</v>
      </c>
      <c r="L20" s="261">
        <f t="shared" si="1"/>
        <v>28.853814930432875</v>
      </c>
      <c r="M20" s="260">
        <f>('Pivot Table for Data Exchange'!$J$354)*100</f>
        <v>28.631374963118922</v>
      </c>
      <c r="N20" s="272">
        <f>('Pivot Table for Data Exchange'!$J$357)*100</f>
        <v>2.0398424950187774E-2</v>
      </c>
      <c r="O20" s="268">
        <f>('Pivot Table for Data Exchange'!$J$360)*100</f>
        <v>0.20204154236376465</v>
      </c>
      <c r="P20" s="260">
        <f>('Pivot Table for Data Exchange'!$J$363)*100</f>
        <v>0</v>
      </c>
      <c r="Q20" s="265">
        <f t="shared" si="3"/>
        <v>100</v>
      </c>
      <c r="R20" s="265">
        <f t="shared" si="2"/>
        <v>100</v>
      </c>
      <c r="S20" s="266"/>
      <c r="T20" s="247"/>
      <c r="U20" s="247"/>
      <c r="V20" s="247"/>
      <c r="W20" s="247"/>
      <c r="X20" s="247"/>
      <c r="Y20" s="247"/>
      <c r="Z20" s="247"/>
      <c r="AA20" s="247"/>
      <c r="AB20" s="247"/>
      <c r="AC20" s="247"/>
      <c r="AD20" s="247"/>
      <c r="AE20" s="247"/>
      <c r="AF20" s="247"/>
      <c r="AG20" s="266"/>
      <c r="AH20" s="266"/>
      <c r="AI20" s="266"/>
      <c r="AJ20" s="266"/>
      <c r="AK20" s="266"/>
      <c r="AL20" s="266"/>
      <c r="AM20" s="266"/>
      <c r="AN20" s="266"/>
      <c r="AO20" s="266"/>
    </row>
    <row r="21" spans="1:41" ht="15.75" customHeight="1">
      <c r="A21" s="231" t="s">
        <v>676</v>
      </c>
      <c r="B21" s="260">
        <f>('Pivot Table for Data Exchange'!$J$366)*100</f>
        <v>78.421045458339933</v>
      </c>
      <c r="C21" s="260">
        <f>('Pivot Table for Data Exchange'!$J$369)*100</f>
        <v>1.059240822042431</v>
      </c>
      <c r="D21" s="261">
        <f t="shared" si="0"/>
        <v>20.519713719617634</v>
      </c>
      <c r="E21" s="260">
        <f>('Pivot Table for Data Exchange'!$J$372)*100</f>
        <v>19.190615645928204</v>
      </c>
      <c r="F21" s="260">
        <f>('Pivot Table for Data Exchange'!$J$375)*100</f>
        <v>0.9575332593951722</v>
      </c>
      <c r="G21" s="268">
        <f>('Pivot Table for Data Exchange'!$J$378)*100</f>
        <v>0.37156481429425686</v>
      </c>
      <c r="H21" s="260">
        <f>('Pivot Table for Data Exchange'!$J$381)*100</f>
        <v>0</v>
      </c>
      <c r="I21" s="266" t="s">
        <v>676</v>
      </c>
      <c r="J21" s="260">
        <f>('Pivot Table for Data Exchange'!$J$384)*100</f>
        <v>65.615029065134166</v>
      </c>
      <c r="K21" s="260">
        <f>('Pivot Table for Data Exchange'!$J$387)*100</f>
        <v>4.721392720634892</v>
      </c>
      <c r="L21" s="261">
        <f t="shared" si="1"/>
        <v>29.663578214230938</v>
      </c>
      <c r="M21" s="260">
        <f>('Pivot Table for Data Exchange'!$J$390)*100</f>
        <v>27.818325619720387</v>
      </c>
      <c r="N21" s="260">
        <f>('Pivot Table for Data Exchange'!$J$393)*100</f>
        <v>0.63302749534627056</v>
      </c>
      <c r="O21" s="268">
        <f>('Pivot Table for Data Exchange'!$J$396)*100</f>
        <v>1.2122250991642836</v>
      </c>
      <c r="P21" s="260">
        <f>('Pivot Table for Data Exchange'!$J$399)*100</f>
        <v>0</v>
      </c>
      <c r="Q21" s="265">
        <f t="shared" si="3"/>
        <v>100</v>
      </c>
      <c r="R21" s="265">
        <f t="shared" si="2"/>
        <v>100</v>
      </c>
      <c r="S21" s="266"/>
      <c r="T21" s="247"/>
      <c r="U21" s="247"/>
      <c r="V21" s="247"/>
      <c r="W21" s="247"/>
      <c r="X21" s="247"/>
      <c r="Y21" s="247"/>
      <c r="Z21" s="247"/>
      <c r="AA21" s="247"/>
      <c r="AB21" s="247"/>
      <c r="AC21" s="247"/>
      <c r="AD21" s="247"/>
      <c r="AE21" s="247"/>
      <c r="AF21" s="247"/>
      <c r="AG21" s="266"/>
      <c r="AH21" s="266"/>
      <c r="AI21" s="266"/>
      <c r="AJ21" s="266"/>
      <c r="AK21" s="266"/>
      <c r="AL21" s="266"/>
      <c r="AM21" s="266"/>
      <c r="AN21" s="266"/>
      <c r="AO21" s="266"/>
    </row>
    <row r="22" spans="1:41" ht="15.75" customHeight="1">
      <c r="A22" s="231" t="s">
        <v>677</v>
      </c>
      <c r="B22" s="260">
        <f>('Pivot Table for Data Exchange'!$J$402)*100</f>
        <v>86.261164455559054</v>
      </c>
      <c r="C22" s="260">
        <f>('Pivot Table for Data Exchange'!$J$405)*100</f>
        <v>1.7323304143141527</v>
      </c>
      <c r="D22" s="261">
        <f>SUM(E22:G22)</f>
        <v>12.006505130126788</v>
      </c>
      <c r="E22" s="260">
        <f>('Pivot Table for Data Exchange'!$J$408)*100</f>
        <v>12.0044626468326</v>
      </c>
      <c r="F22" s="260">
        <f>('Pivot Table for Data Exchange'!$J$411)*100</f>
        <v>2.0424832941887227E-3</v>
      </c>
      <c r="G22" s="267">
        <f>('Pivot Table for Data Exchange'!$J$414)*100</f>
        <v>0</v>
      </c>
      <c r="H22" s="260">
        <f>('Pivot Table for Data Exchange'!$J$417)*100</f>
        <v>0</v>
      </c>
      <c r="I22" s="266" t="s">
        <v>677</v>
      </c>
      <c r="J22" s="260">
        <f>('Pivot Table for Data Exchange'!$J$420)*100</f>
        <v>62.500129023125375</v>
      </c>
      <c r="K22" s="260">
        <f>('Pivot Table for Data Exchange'!$J$423)*100</f>
        <v>10.638878280320803</v>
      </c>
      <c r="L22" s="261">
        <f>SUM(M22:O22)</f>
        <v>26.860992696553829</v>
      </c>
      <c r="M22" s="260">
        <f>('Pivot Table for Data Exchange'!$J$426)*100</f>
        <v>23.310276286434288</v>
      </c>
      <c r="N22" s="260">
        <f>('Pivot Table for Data Exchange'!$J$429)*100</f>
        <v>3.5507164101195423</v>
      </c>
      <c r="O22" s="268">
        <f>('Pivot Table for Data Exchange'!$J$432)*100</f>
        <v>0</v>
      </c>
      <c r="P22" s="260">
        <f>('Pivot Table for Data Exchange'!$J$435)*100</f>
        <v>0</v>
      </c>
      <c r="Q22" s="265">
        <f t="shared" si="3"/>
        <v>99.999999999999986</v>
      </c>
      <c r="R22" s="265">
        <f t="shared" si="2"/>
        <v>100</v>
      </c>
      <c r="S22" s="266"/>
      <c r="T22" s="247"/>
      <c r="U22" s="247"/>
      <c r="V22" s="247"/>
      <c r="W22" s="247"/>
      <c r="X22" s="247"/>
      <c r="Y22" s="247"/>
      <c r="Z22" s="247"/>
      <c r="AA22" s="247"/>
      <c r="AB22" s="247"/>
      <c r="AC22" s="247"/>
      <c r="AD22" s="247"/>
      <c r="AE22" s="247"/>
      <c r="AF22" s="247"/>
      <c r="AG22" s="266"/>
      <c r="AH22" s="266"/>
      <c r="AI22" s="266"/>
      <c r="AJ22" s="266"/>
      <c r="AK22" s="266"/>
      <c r="AL22" s="266"/>
      <c r="AM22" s="266"/>
      <c r="AN22" s="266"/>
      <c r="AO22" s="266"/>
    </row>
    <row r="23" spans="1:41" ht="9.75" customHeight="1">
      <c r="B23" s="260"/>
      <c r="C23" s="260"/>
      <c r="D23" s="261"/>
      <c r="E23" s="260"/>
      <c r="F23" s="260"/>
      <c r="G23" s="268"/>
      <c r="H23" s="260"/>
      <c r="I23" s="266"/>
      <c r="J23" s="260"/>
      <c r="K23" s="260"/>
      <c r="L23" s="261"/>
      <c r="M23" s="260"/>
      <c r="N23" s="260"/>
      <c r="O23" s="268"/>
      <c r="P23" s="260"/>
      <c r="Q23" s="265">
        <f t="shared" si="3"/>
        <v>0</v>
      </c>
      <c r="R23" s="265">
        <f t="shared" si="2"/>
        <v>0</v>
      </c>
      <c r="S23" s="266"/>
      <c r="T23" s="247"/>
      <c r="U23" s="247"/>
      <c r="V23" s="247"/>
      <c r="W23" s="247"/>
      <c r="X23" s="247"/>
      <c r="Y23" s="247"/>
      <c r="Z23" s="247"/>
      <c r="AA23" s="247"/>
      <c r="AB23" s="247"/>
      <c r="AC23" s="247"/>
      <c r="AD23" s="247"/>
      <c r="AE23" s="247"/>
      <c r="AF23" s="247"/>
      <c r="AG23" s="266"/>
      <c r="AH23" s="266"/>
      <c r="AI23" s="266"/>
      <c r="AJ23" s="266"/>
      <c r="AK23" s="266"/>
      <c r="AL23" s="266"/>
      <c r="AM23" s="266"/>
      <c r="AN23" s="266"/>
      <c r="AO23" s="266"/>
    </row>
    <row r="24" spans="1:41" ht="15.75" customHeight="1">
      <c r="A24" s="231" t="s">
        <v>678</v>
      </c>
      <c r="B24" s="260">
        <f>('Pivot Table for Data Exchange'!$J$438)*100</f>
        <v>75.073477396824046</v>
      </c>
      <c r="C24" s="260">
        <f>('Pivot Table for Data Exchange'!$J$441)*100</f>
        <v>2.9378078364817353</v>
      </c>
      <c r="D24" s="261">
        <f>SUM(E24:G24)</f>
        <v>21.359576737654425</v>
      </c>
      <c r="E24" s="260">
        <f>('Pivot Table for Data Exchange'!$J$444)*100</f>
        <v>15.846068794028392</v>
      </c>
      <c r="F24" s="260">
        <f>('Pivot Table for Data Exchange'!$J$447)*100</f>
        <v>0.36973426112634722</v>
      </c>
      <c r="G24" s="268">
        <f>('Pivot Table for Data Exchange'!$J$450)*100</f>
        <v>5.1437736824996856</v>
      </c>
      <c r="H24" s="260">
        <f>('Pivot Table for Data Exchange'!$J$453)*100</f>
        <v>0.62913802903979932</v>
      </c>
      <c r="I24" s="266" t="s">
        <v>678</v>
      </c>
      <c r="J24" s="260">
        <f>('Pivot Table for Data Exchange'!$J$456)*100</f>
        <v>55.176528719129614</v>
      </c>
      <c r="K24" s="260">
        <f>('Pivot Table for Data Exchange'!$J$459)*100</f>
        <v>3.6085758058852231</v>
      </c>
      <c r="L24" s="261">
        <f>SUM(M24:O24)</f>
        <v>37.628073054082023</v>
      </c>
      <c r="M24" s="260">
        <f>('Pivot Table for Data Exchange'!$J$462)*100</f>
        <v>34.462023251260923</v>
      </c>
      <c r="N24" s="260">
        <f>('Pivot Table for Data Exchange'!$J$465)*100</f>
        <v>0.12585887025348907</v>
      </c>
      <c r="O24" s="268">
        <f>('Pivot Table for Data Exchange'!$J$468)*100</f>
        <v>3.0401909325676142</v>
      </c>
      <c r="P24" s="260">
        <f>('Pivot Table for Data Exchange'!$J$471)*100</f>
        <v>3.5868224209031387</v>
      </c>
      <c r="Q24" s="265">
        <f t="shared" si="3"/>
        <v>100</v>
      </c>
      <c r="R24" s="265">
        <f t="shared" si="2"/>
        <v>100</v>
      </c>
      <c r="S24" s="266"/>
      <c r="T24" s="247"/>
      <c r="U24" s="247"/>
      <c r="V24" s="247"/>
      <c r="W24" s="247"/>
      <c r="X24" s="247"/>
      <c r="Y24" s="247"/>
      <c r="Z24" s="247"/>
      <c r="AA24" s="247"/>
      <c r="AB24" s="247"/>
      <c r="AC24" s="247"/>
      <c r="AD24" s="247"/>
      <c r="AE24" s="247"/>
      <c r="AF24" s="247"/>
      <c r="AG24" s="266"/>
      <c r="AH24" s="266"/>
      <c r="AI24" s="266"/>
      <c r="AJ24" s="266"/>
      <c r="AK24" s="266"/>
      <c r="AL24" s="266"/>
      <c r="AM24" s="266"/>
      <c r="AN24" s="266"/>
      <c r="AO24" s="266"/>
    </row>
    <row r="25" spans="1:41" ht="15.75" customHeight="1">
      <c r="A25" s="231" t="s">
        <v>679</v>
      </c>
      <c r="B25" s="260">
        <f>('Pivot Table for Data Exchange'!$J$474)*100</f>
        <v>0</v>
      </c>
      <c r="C25" s="260">
        <f>('Pivot Table for Data Exchange'!$J$477)*100</f>
        <v>0</v>
      </c>
      <c r="D25" s="261">
        <f>SUM(E25:G25)</f>
        <v>0</v>
      </c>
      <c r="E25" s="260">
        <f>('Pivot Table for Data Exchange'!$J$480)*100</f>
        <v>0</v>
      </c>
      <c r="F25" s="260">
        <f>('Pivot Table for Data Exchange'!$J$483)*100</f>
        <v>0</v>
      </c>
      <c r="G25" s="268">
        <f>('Pivot Table for Data Exchange'!$J$486)*100</f>
        <v>0</v>
      </c>
      <c r="H25" s="260">
        <f>('Pivot Table for Data Exchange'!$J$489)*100</f>
        <v>0</v>
      </c>
      <c r="I25" s="266" t="s">
        <v>679</v>
      </c>
      <c r="J25" s="260">
        <f>('Pivot Table for Data Exchange'!$J$492)*100</f>
        <v>0</v>
      </c>
      <c r="K25" s="260">
        <f>('Pivot Table for Data Exchange'!$J$495)*100</f>
        <v>0</v>
      </c>
      <c r="L25" s="261">
        <f>SUM(M25:O25)</f>
        <v>0</v>
      </c>
      <c r="M25" s="260">
        <f>('Pivot Table for Data Exchange'!$J$498)*100</f>
        <v>0</v>
      </c>
      <c r="N25" s="260">
        <f>('Pivot Table for Data Exchange'!$J$501)*100</f>
        <v>0</v>
      </c>
      <c r="O25" s="268">
        <f>('Pivot Table for Data Exchange'!$J$504)*100</f>
        <v>0</v>
      </c>
      <c r="P25" s="260">
        <f>('Pivot Table for Data Exchange'!$J$507)*100</f>
        <v>0</v>
      </c>
      <c r="Q25" s="265">
        <f t="shared" si="3"/>
        <v>0</v>
      </c>
      <c r="R25" s="265">
        <f t="shared" si="2"/>
        <v>0</v>
      </c>
      <c r="S25" s="266"/>
      <c r="T25" s="247"/>
      <c r="U25" s="247"/>
      <c r="V25" s="247"/>
      <c r="W25" s="247"/>
      <c r="X25" s="247"/>
      <c r="Y25" s="247"/>
      <c r="Z25" s="247"/>
      <c r="AA25" s="247"/>
      <c r="AB25" s="247"/>
      <c r="AC25" s="247"/>
      <c r="AD25" s="247"/>
      <c r="AE25" s="247"/>
      <c r="AF25" s="247"/>
      <c r="AG25" s="266"/>
      <c r="AH25" s="266"/>
      <c r="AI25" s="266"/>
      <c r="AJ25" s="266"/>
      <c r="AK25" s="266"/>
      <c r="AL25" s="266"/>
      <c r="AM25" s="266"/>
      <c r="AN25" s="266"/>
      <c r="AO25" s="266"/>
    </row>
    <row r="26" spans="1:41" ht="15.75" customHeight="1">
      <c r="A26" s="231" t="s">
        <v>680</v>
      </c>
      <c r="B26" s="260">
        <f>('Pivot Table for Data Exchange'!$J$510)*100</f>
        <v>88.890774037677716</v>
      </c>
      <c r="C26" s="260">
        <f>('Pivot Table for Data Exchange'!$J$513)*100</f>
        <v>1.3384777149396347</v>
      </c>
      <c r="D26" s="261">
        <f t="shared" si="0"/>
        <v>9.7707482473826435</v>
      </c>
      <c r="E26" s="260">
        <f>('Pivot Table for Data Exchange'!$J$516)*100</f>
        <v>9.1652188142813706</v>
      </c>
      <c r="F26" s="260">
        <f>('Pivot Table for Data Exchange'!$J$519)*100</f>
        <v>0.60415088003786632</v>
      </c>
      <c r="G26" s="268">
        <f>('Pivot Table for Data Exchange'!$J$522)*100</f>
        <v>1.3785530634064264E-3</v>
      </c>
      <c r="H26" s="260">
        <f>('Pivot Table for Data Exchange'!$J$525)*100</f>
        <v>0</v>
      </c>
      <c r="I26" s="266" t="s">
        <v>680</v>
      </c>
      <c r="J26" s="260">
        <f>('Pivot Table for Data Exchange'!$J$528)*100</f>
        <v>76.589027003074776</v>
      </c>
      <c r="K26" s="260">
        <f>('Pivot Table for Data Exchange'!$J$531)*100</f>
        <v>7.1969779732902168</v>
      </c>
      <c r="L26" s="261">
        <f t="shared" si="1"/>
        <v>16.213995023635015</v>
      </c>
      <c r="M26" s="260">
        <f>('Pivot Table for Data Exchange'!$J$534)*100</f>
        <v>13.166454125500904</v>
      </c>
      <c r="N26" s="260">
        <f>('Pivot Table for Data Exchange'!$J$537)*100</f>
        <v>2.8695080478362707</v>
      </c>
      <c r="O26" s="268">
        <f>('Pivot Table for Data Exchange'!$J$540)*100</f>
        <v>0.17803285029784086</v>
      </c>
      <c r="P26" s="260">
        <f>('Pivot Table for Data Exchange'!$J$543)*100</f>
        <v>0</v>
      </c>
      <c r="Q26" s="265">
        <f t="shared" si="3"/>
        <v>99.999999999999986</v>
      </c>
      <c r="R26" s="265">
        <f t="shared" si="2"/>
        <v>100</v>
      </c>
      <c r="S26" s="266"/>
      <c r="T26" s="247"/>
      <c r="U26" s="247"/>
      <c r="V26" s="247"/>
      <c r="W26" s="247"/>
      <c r="X26" s="247"/>
      <c r="Y26" s="247"/>
      <c r="Z26" s="247"/>
      <c r="AA26" s="247"/>
      <c r="AB26" s="247"/>
      <c r="AC26" s="247"/>
      <c r="AD26" s="247"/>
      <c r="AE26" s="247"/>
      <c r="AF26" s="247"/>
      <c r="AG26" s="266"/>
      <c r="AH26" s="266"/>
      <c r="AI26" s="266"/>
      <c r="AJ26" s="266"/>
      <c r="AK26" s="266"/>
      <c r="AL26" s="266"/>
      <c r="AM26" s="266"/>
      <c r="AN26" s="266"/>
      <c r="AO26" s="266"/>
    </row>
    <row r="27" spans="1:41" ht="15.75" customHeight="1">
      <c r="A27" s="237" t="s">
        <v>681</v>
      </c>
      <c r="B27" s="273">
        <f>('Pivot Table for Data Exchange'!$J$546)*100</f>
        <v>79.557047375518593</v>
      </c>
      <c r="C27" s="273">
        <f>('Pivot Table for Data Exchange'!$J$549)*100</f>
        <v>4.3570149517696732</v>
      </c>
      <c r="D27" s="274">
        <f>SUM(E27:G27)</f>
        <v>16.085937672711733</v>
      </c>
      <c r="E27" s="273">
        <f>('Pivot Table for Data Exchange'!$J$552)*100</f>
        <v>15.504226140910665</v>
      </c>
      <c r="F27" s="273">
        <f>('Pivot Table for Data Exchange'!$J$555)*100</f>
        <v>0.40618114559000168</v>
      </c>
      <c r="G27" s="275">
        <f>('Pivot Table for Data Exchange'!$J$558)*100</f>
        <v>0.17553038621106387</v>
      </c>
      <c r="H27" s="273">
        <f>('Pivot Table for Data Exchange'!$J$561)*100</f>
        <v>0</v>
      </c>
      <c r="I27" s="276" t="s">
        <v>681</v>
      </c>
      <c r="J27" s="273">
        <f>('Pivot Table for Data Exchange'!$J$564)*100</f>
        <v>58.196730495579786</v>
      </c>
      <c r="K27" s="273">
        <f>('Pivot Table for Data Exchange'!$J$567)*100</f>
        <v>8.7076605900346209</v>
      </c>
      <c r="L27" s="274">
        <f>SUM(M27:O27)</f>
        <v>33.095608914385593</v>
      </c>
      <c r="M27" s="273">
        <f>('Pivot Table for Data Exchange'!$J$570)*100</f>
        <v>32.346580914071865</v>
      </c>
      <c r="N27" s="273">
        <f>('Pivot Table for Data Exchange'!$J$573)*100</f>
        <v>0.41288978027765016</v>
      </c>
      <c r="O27" s="275">
        <f>('Pivot Table for Data Exchange'!$J$576)*100</f>
        <v>0.33613822003607885</v>
      </c>
      <c r="P27" s="273">
        <f>('Pivot Table for Data Exchange'!$J$579)*100</f>
        <v>0</v>
      </c>
      <c r="Q27" s="265">
        <f t="shared" si="3"/>
        <v>100</v>
      </c>
      <c r="R27" s="265">
        <f t="shared" si="2"/>
        <v>100</v>
      </c>
      <c r="S27" s="266"/>
      <c r="T27" s="247"/>
      <c r="U27" s="247"/>
      <c r="V27" s="247"/>
      <c r="W27" s="247"/>
      <c r="X27" s="247"/>
      <c r="Y27" s="247"/>
      <c r="Z27" s="247"/>
      <c r="AA27" s="247"/>
      <c r="AB27" s="247"/>
      <c r="AC27" s="247"/>
      <c r="AD27" s="247"/>
      <c r="AE27" s="247"/>
      <c r="AF27" s="247"/>
      <c r="AG27" s="266"/>
      <c r="AH27" s="266"/>
      <c r="AI27" s="266"/>
      <c r="AJ27" s="266"/>
      <c r="AK27" s="266"/>
      <c r="AL27" s="266"/>
      <c r="AM27" s="266"/>
      <c r="AN27" s="266"/>
      <c r="AO27" s="266"/>
    </row>
    <row r="28" spans="1:41" s="278" customFormat="1" ht="32.5" customHeight="1">
      <c r="A28" s="500" t="s">
        <v>843</v>
      </c>
      <c r="B28" s="501"/>
      <c r="C28" s="501"/>
      <c r="D28" s="501"/>
      <c r="E28" s="501"/>
      <c r="F28" s="501"/>
      <c r="G28" s="501"/>
      <c r="H28" s="501"/>
      <c r="I28" s="500" t="s">
        <v>843</v>
      </c>
      <c r="J28" s="501"/>
      <c r="K28" s="501"/>
      <c r="L28" s="501"/>
      <c r="M28" s="501"/>
      <c r="N28" s="501"/>
      <c r="O28" s="501"/>
      <c r="P28" s="501"/>
      <c r="Q28" s="265"/>
      <c r="R28" s="265"/>
    </row>
    <row r="29" spans="1:41" s="278" customFormat="1" ht="13.5" customHeight="1">
      <c r="A29" s="279" t="s">
        <v>700</v>
      </c>
      <c r="B29" s="280"/>
      <c r="C29" s="280"/>
      <c r="D29" s="281"/>
      <c r="E29" s="280"/>
      <c r="F29" s="281"/>
      <c r="G29" s="281"/>
      <c r="H29" s="280"/>
      <c r="I29" s="279" t="s">
        <v>700</v>
      </c>
      <c r="J29" s="280"/>
      <c r="K29" s="280"/>
      <c r="L29" s="281"/>
      <c r="M29" s="280"/>
      <c r="N29" s="281"/>
      <c r="O29" s="281"/>
      <c r="P29" s="280"/>
      <c r="Q29" s="265"/>
      <c r="R29" s="265"/>
      <c r="S29" s="282"/>
      <c r="T29" s="247"/>
      <c r="U29" s="247"/>
      <c r="V29" s="247"/>
      <c r="W29" s="247"/>
      <c r="X29" s="247"/>
      <c r="Y29" s="247"/>
      <c r="Z29" s="247"/>
      <c r="AA29" s="247"/>
      <c r="AB29" s="247"/>
      <c r="AC29" s="247"/>
      <c r="AD29" s="247"/>
      <c r="AE29" s="247"/>
      <c r="AF29" s="247"/>
      <c r="AG29" s="282"/>
      <c r="AH29" s="282"/>
      <c r="AI29" s="282"/>
      <c r="AJ29" s="282"/>
      <c r="AK29" s="282"/>
      <c r="AL29" s="282"/>
      <c r="AM29" s="282"/>
      <c r="AN29" s="282"/>
      <c r="AO29" s="282"/>
    </row>
    <row r="30" spans="1:41" s="278" customFormat="1" ht="23.25" customHeight="1">
      <c r="A30" s="490" t="s">
        <v>701</v>
      </c>
      <c r="B30" s="491"/>
      <c r="C30" s="491"/>
      <c r="D30" s="491"/>
      <c r="E30" s="491"/>
      <c r="F30" s="491"/>
      <c r="G30" s="491"/>
      <c r="H30" s="491"/>
      <c r="I30" s="490" t="s">
        <v>701</v>
      </c>
      <c r="J30" s="491"/>
      <c r="K30" s="491"/>
      <c r="L30" s="491"/>
      <c r="M30" s="491"/>
      <c r="N30" s="491"/>
      <c r="O30" s="491"/>
      <c r="P30" s="491"/>
      <c r="Q30" s="265"/>
      <c r="R30" s="265"/>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row>
    <row r="31" spans="1:41" s="278" customFormat="1" ht="13.5" customHeight="1">
      <c r="A31" s="277"/>
      <c r="B31" s="151"/>
      <c r="C31" s="151"/>
      <c r="D31" s="159"/>
      <c r="E31" s="151"/>
      <c r="F31" s="151"/>
      <c r="G31" s="151"/>
      <c r="H31" s="151"/>
      <c r="I31" s="277"/>
      <c r="J31" s="151"/>
      <c r="K31" s="151"/>
      <c r="L31" s="159"/>
      <c r="M31" s="151"/>
      <c r="N31" s="151"/>
      <c r="O31" s="151"/>
      <c r="P31" s="151"/>
      <c r="Q31" s="265"/>
      <c r="R31" s="265"/>
    </row>
    <row r="32" spans="1:41">
      <c r="H32" s="284" t="s">
        <v>839</v>
      </c>
      <c r="I32" s="231"/>
      <c r="P32" s="284" t="s">
        <v>839</v>
      </c>
      <c r="Q32" s="265"/>
      <c r="R32" s="265"/>
    </row>
    <row r="33" spans="1:41" ht="18">
      <c r="A33" s="226" t="s">
        <v>702</v>
      </c>
      <c r="B33" s="227"/>
      <c r="C33" s="227"/>
      <c r="D33" s="227"/>
      <c r="E33" s="227"/>
      <c r="F33" s="227"/>
      <c r="G33" s="227"/>
      <c r="H33" s="227"/>
      <c r="I33" s="226" t="s">
        <v>703</v>
      </c>
      <c r="J33" s="228"/>
      <c r="K33" s="228"/>
      <c r="L33" s="227"/>
      <c r="M33" s="228"/>
      <c r="N33" s="228"/>
      <c r="O33" s="228"/>
      <c r="P33" s="228"/>
      <c r="Q33" s="265"/>
      <c r="R33" s="265"/>
    </row>
    <row r="34" spans="1:41" ht="13">
      <c r="A34" s="232"/>
      <c r="B34" s="228"/>
      <c r="C34" s="228"/>
      <c r="D34" s="228"/>
      <c r="E34" s="228"/>
      <c r="F34" s="228"/>
      <c r="G34" s="228"/>
      <c r="H34" s="228"/>
      <c r="I34" s="232"/>
      <c r="J34" s="228"/>
      <c r="K34" s="228"/>
      <c r="L34" s="228"/>
      <c r="M34" s="228"/>
      <c r="N34" s="228"/>
      <c r="O34" s="228"/>
      <c r="P34" s="228"/>
      <c r="Q34" s="265"/>
      <c r="R34" s="265"/>
    </row>
    <row r="35" spans="1:41" ht="15.5">
      <c r="A35" s="234" t="s">
        <v>687</v>
      </c>
      <c r="B35" s="228"/>
      <c r="C35" s="228"/>
      <c r="D35" s="228"/>
      <c r="E35" s="228"/>
      <c r="F35" s="228"/>
      <c r="G35" s="228"/>
      <c r="H35" s="228"/>
      <c r="I35" s="234" t="s">
        <v>688</v>
      </c>
      <c r="J35" s="228"/>
      <c r="K35" s="228"/>
      <c r="L35" s="228"/>
      <c r="M35" s="228"/>
      <c r="N35" s="228"/>
      <c r="O35" s="228"/>
      <c r="P35" s="228"/>
      <c r="Q35" s="265"/>
      <c r="R35" s="265"/>
    </row>
    <row r="36" spans="1:41" ht="15.5">
      <c r="A36" s="234" t="s">
        <v>765</v>
      </c>
      <c r="B36" s="228"/>
      <c r="C36" s="228"/>
      <c r="D36" s="228"/>
      <c r="E36" s="228"/>
      <c r="F36" s="228"/>
      <c r="G36" s="228"/>
      <c r="H36" s="228"/>
      <c r="I36" s="234" t="s">
        <v>765</v>
      </c>
      <c r="J36" s="228"/>
      <c r="K36" s="228"/>
      <c r="L36" s="228"/>
      <c r="M36" s="228"/>
      <c r="N36" s="228"/>
      <c r="O36" s="228"/>
      <c r="P36" s="228"/>
      <c r="Q36" s="265"/>
      <c r="R36" s="265"/>
    </row>
    <row r="37" spans="1:41">
      <c r="A37" s="237"/>
      <c r="B37" s="238"/>
      <c r="C37" s="238"/>
      <c r="D37" s="238"/>
      <c r="E37" s="238"/>
      <c r="F37" s="238"/>
      <c r="G37" s="238"/>
      <c r="H37" s="238"/>
      <c r="I37" s="239"/>
      <c r="L37" s="240"/>
      <c r="P37" s="237"/>
      <c r="Q37" s="265"/>
      <c r="R37" s="265"/>
    </row>
    <row r="38" spans="1:41" s="247" customFormat="1">
      <c r="A38" s="242"/>
      <c r="B38" s="243" t="s">
        <v>689</v>
      </c>
      <c r="C38" s="243"/>
      <c r="D38" s="243"/>
      <c r="E38" s="243"/>
      <c r="F38" s="243"/>
      <c r="G38" s="243"/>
      <c r="H38" s="244"/>
      <c r="I38" s="242"/>
      <c r="J38" s="243" t="s">
        <v>689</v>
      </c>
      <c r="K38" s="243"/>
      <c r="L38" s="243"/>
      <c r="M38" s="243"/>
      <c r="N38" s="243"/>
      <c r="O38" s="243"/>
      <c r="P38" s="244"/>
      <c r="Q38" s="265"/>
      <c r="R38" s="265"/>
    </row>
    <row r="39" spans="1:41" s="247" customFormat="1">
      <c r="A39" s="242"/>
      <c r="B39" s="243" t="s">
        <v>690</v>
      </c>
      <c r="C39" s="243"/>
      <c r="D39" s="485" t="s">
        <v>691</v>
      </c>
      <c r="E39" s="483"/>
      <c r="F39" s="483"/>
      <c r="G39" s="483"/>
      <c r="H39" s="250" t="s">
        <v>581</v>
      </c>
      <c r="I39" s="242"/>
      <c r="J39" s="243" t="s">
        <v>690</v>
      </c>
      <c r="K39" s="243"/>
      <c r="L39" s="485" t="s">
        <v>691</v>
      </c>
      <c r="M39" s="483"/>
      <c r="N39" s="483"/>
      <c r="O39" s="483"/>
      <c r="P39" s="250" t="s">
        <v>581</v>
      </c>
      <c r="Q39" s="265"/>
      <c r="R39" s="265"/>
    </row>
    <row r="40" spans="1:41" s="247" customFormat="1" ht="40.5" customHeight="1">
      <c r="A40" s="242"/>
      <c r="B40" s="251" t="s">
        <v>692</v>
      </c>
      <c r="C40" s="252" t="s">
        <v>693</v>
      </c>
      <c r="D40" s="253" t="s">
        <v>694</v>
      </c>
      <c r="E40" s="254" t="s">
        <v>8</v>
      </c>
      <c r="F40" s="251" t="s">
        <v>695</v>
      </c>
      <c r="G40" s="255" t="s">
        <v>704</v>
      </c>
      <c r="H40" s="256" t="s">
        <v>697</v>
      </c>
      <c r="I40" s="242"/>
      <c r="J40" s="251" t="s">
        <v>692</v>
      </c>
      <c r="K40" s="252" t="s">
        <v>693</v>
      </c>
      <c r="L40" s="253" t="s">
        <v>694</v>
      </c>
      <c r="M40" s="254" t="s">
        <v>8</v>
      </c>
      <c r="N40" s="251" t="s">
        <v>695</v>
      </c>
      <c r="O40" s="255" t="s">
        <v>704</v>
      </c>
      <c r="P40" s="256" t="s">
        <v>697</v>
      </c>
      <c r="Q40" s="265"/>
      <c r="R40" s="265"/>
      <c r="T40" s="285"/>
    </row>
    <row r="41" spans="1:41" ht="15.75" customHeight="1">
      <c r="A41" s="286" t="s">
        <v>666</v>
      </c>
      <c r="B41" s="260">
        <f>('Pivot Table for Data Exchange'!$C$6)*100</f>
        <v>86.956405174602892</v>
      </c>
      <c r="C41" s="272">
        <f>('Pivot Table for Data Exchange'!$C$9)*100</f>
        <v>0.62310118034120332</v>
      </c>
      <c r="D41" s="261">
        <f>SUM(E41:G41)</f>
        <v>12.420493645055911</v>
      </c>
      <c r="E41" s="260">
        <f>('Pivot Table for Data Exchange'!$C$12)*100</f>
        <v>12.357313471793518</v>
      </c>
      <c r="F41" s="272">
        <f>('Pivot Table for Data Exchange'!$C$15)*100</f>
        <v>6.3180173262393474E-2</v>
      </c>
      <c r="G41" s="264">
        <f>('Pivot Table for Data Exchange'!$C$18)*100</f>
        <v>0</v>
      </c>
      <c r="H41" s="260">
        <f>('Pivot Table for Data Exchange'!$C$21)*100</f>
        <v>0</v>
      </c>
      <c r="I41" s="263" t="s">
        <v>666</v>
      </c>
      <c r="J41" s="260">
        <f>('Pivot Table for Data Exchange'!$C$24)*100</f>
        <v>71.175837175442851</v>
      </c>
      <c r="K41" s="260">
        <f>('Pivot Table for Data Exchange'!$C$27)*100</f>
        <v>2.8269837418102401</v>
      </c>
      <c r="L41" s="261">
        <f>SUM(M41:O41)</f>
        <v>25.997179082746907</v>
      </c>
      <c r="M41" s="260">
        <f>('Pivot Table for Data Exchange'!$C$30)*100</f>
        <v>25.840208687211842</v>
      </c>
      <c r="N41" s="260">
        <f>('Pivot Table for Data Exchange'!$C$33)*100</f>
        <v>0.15697039553506431</v>
      </c>
      <c r="O41" s="264">
        <f>('Pivot Table for Data Exchange'!$C$36)*100</f>
        <v>0</v>
      </c>
      <c r="P41" s="260">
        <f>('Pivot Table for Data Exchange'!$C$39)*100</f>
        <v>0</v>
      </c>
      <c r="Q41" s="265">
        <f t="shared" si="3"/>
        <v>100.00000000000001</v>
      </c>
      <c r="R41" s="265">
        <f t="shared" si="2"/>
        <v>100</v>
      </c>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row>
    <row r="42" spans="1:41" ht="15.75" customHeight="1">
      <c r="A42" s="231" t="s">
        <v>667</v>
      </c>
      <c r="B42" s="260">
        <f>('Pivot Table for Data Exchange'!$C$42)*100</f>
        <v>89.150451108744633</v>
      </c>
      <c r="C42" s="260">
        <f>('Pivot Table for Data Exchange'!$C$45)*100</f>
        <v>1.2610384540011879</v>
      </c>
      <c r="D42" s="261">
        <f t="shared" ref="D42:D44" si="4">SUM(E42:G42)</f>
        <v>8.9677896658954506</v>
      </c>
      <c r="E42" s="260">
        <f>('Pivot Table for Data Exchange'!$C$48)*100</f>
        <v>8.9096065882081277</v>
      </c>
      <c r="F42" s="260">
        <f>('Pivot Table for Data Exchange'!$C$51)*100</f>
        <v>5.408139858142668E-2</v>
      </c>
      <c r="G42" s="271">
        <f>('Pivot Table for Data Exchange'!$C$54)*100</f>
        <v>4.1016791058947205E-3</v>
      </c>
      <c r="H42" s="260">
        <f>('Pivot Table for Data Exchange'!$C$57)*100</f>
        <v>0.62072077135873438</v>
      </c>
      <c r="I42" s="266" t="s">
        <v>667</v>
      </c>
      <c r="J42" s="260">
        <f>('Pivot Table for Data Exchange'!$C$60)*100</f>
        <v>67.103715972740261</v>
      </c>
      <c r="K42" s="260">
        <f>('Pivot Table for Data Exchange'!$C$63)*100</f>
        <v>0.70298769771528991</v>
      </c>
      <c r="L42" s="261">
        <f t="shared" ref="L42:L44" si="5">SUM(M42:O42)</f>
        <v>31.990997711496885</v>
      </c>
      <c r="M42" s="260">
        <f>('Pivot Table for Data Exchange'!$C$66)*100</f>
        <v>31.953066720612966</v>
      </c>
      <c r="N42" s="260">
        <f>('Pivot Table for Data Exchange'!$C$69)*100</f>
        <v>3.7930990883918526E-2</v>
      </c>
      <c r="O42" s="268">
        <f>('Pivot Table for Data Exchange'!$C$72)*100</f>
        <v>0</v>
      </c>
      <c r="P42" s="272">
        <f>('Pivot Table for Data Exchange'!$C$75)*100</f>
        <v>0.20229861804756544</v>
      </c>
      <c r="Q42" s="265">
        <f t="shared" si="3"/>
        <v>100.00000000000001</v>
      </c>
      <c r="R42" s="265">
        <f t="shared" si="2"/>
        <v>100</v>
      </c>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row>
    <row r="43" spans="1:41" ht="15.75" customHeight="1">
      <c r="A43" s="231" t="s">
        <v>668</v>
      </c>
      <c r="B43" s="260">
        <f>('Pivot Table for Data Exchange'!$C$78)*100</f>
        <v>96.130673743340353</v>
      </c>
      <c r="C43" s="260">
        <f>('Pivot Table for Data Exchange'!$C$81)*100</f>
        <v>0</v>
      </c>
      <c r="D43" s="261">
        <f t="shared" si="4"/>
        <v>3.8693262566596394</v>
      </c>
      <c r="E43" s="260">
        <f>('Pivot Table for Data Exchange'!$C$84)*100</f>
        <v>3.8693262566596394</v>
      </c>
      <c r="F43" s="260">
        <f>('Pivot Table for Data Exchange'!$C$87)*100</f>
        <v>0</v>
      </c>
      <c r="G43" s="268">
        <f>('Pivot Table for Data Exchange'!$C$90)*100</f>
        <v>0</v>
      </c>
      <c r="H43" s="260">
        <f>('Pivot Table for Data Exchange'!$C$93)*100</f>
        <v>0</v>
      </c>
      <c r="I43" s="266" t="s">
        <v>668</v>
      </c>
      <c r="J43" s="260">
        <f>('Pivot Table for Data Exchange'!$C$96)*100</f>
        <v>86.170024382602534</v>
      </c>
      <c r="K43" s="260">
        <f>('Pivot Table for Data Exchange'!$C$99)*100</f>
        <v>0</v>
      </c>
      <c r="L43" s="261">
        <f t="shared" si="5"/>
        <v>13.829975617397464</v>
      </c>
      <c r="M43" s="260">
        <f>('Pivot Table for Data Exchange'!$C$102)*100</f>
        <v>13.829975617397464</v>
      </c>
      <c r="N43" s="260">
        <f>('Pivot Table for Data Exchange'!$C$105)*100</f>
        <v>0</v>
      </c>
      <c r="O43" s="268">
        <f>('Pivot Table for Data Exchange'!$C$108)*100</f>
        <v>0</v>
      </c>
      <c r="P43" s="260">
        <f>('Pivot Table for Data Exchange'!$C$111)*100</f>
        <v>0</v>
      </c>
      <c r="Q43" s="265">
        <f t="shared" si="3"/>
        <v>99.999999999999986</v>
      </c>
      <c r="R43" s="265">
        <f t="shared" si="2"/>
        <v>100</v>
      </c>
      <c r="S43" s="266"/>
      <c r="T43" s="240"/>
      <c r="U43" s="266"/>
      <c r="V43" s="266"/>
      <c r="W43" s="266"/>
      <c r="X43" s="266"/>
      <c r="Y43" s="266"/>
      <c r="Z43" s="266"/>
      <c r="AA43" s="266"/>
      <c r="AB43" s="266"/>
      <c r="AC43" s="266"/>
      <c r="AD43" s="266"/>
      <c r="AE43" s="266"/>
      <c r="AF43" s="266"/>
      <c r="AG43" s="266"/>
      <c r="AH43" s="266"/>
      <c r="AI43" s="266"/>
      <c r="AJ43" s="266"/>
      <c r="AK43" s="266"/>
      <c r="AL43" s="266"/>
      <c r="AM43" s="266"/>
      <c r="AN43" s="266"/>
      <c r="AO43" s="266"/>
    </row>
    <row r="44" spans="1:41" ht="15.75" customHeight="1">
      <c r="A44" s="231" t="s">
        <v>705</v>
      </c>
      <c r="B44" s="260">
        <f>('Pivot Table for Data Exchange'!$C$114)*100</f>
        <v>0</v>
      </c>
      <c r="C44" s="260">
        <f>('Pivot Table for Data Exchange'!$C$117)*100</f>
        <v>0</v>
      </c>
      <c r="D44" s="261">
        <f t="shared" si="4"/>
        <v>0</v>
      </c>
      <c r="E44" s="260">
        <f>('Pivot Table for Data Exchange'!$C$120)*100</f>
        <v>0</v>
      </c>
      <c r="F44" s="260">
        <f>('Pivot Table for Data Exchange'!$C$123)*100</f>
        <v>0</v>
      </c>
      <c r="G44" s="271">
        <f>('Pivot Table for Data Exchange'!$C$126)*100</f>
        <v>0</v>
      </c>
      <c r="H44" s="260">
        <f>('Pivot Table for Data Exchange'!$C$129)*100</f>
        <v>0</v>
      </c>
      <c r="I44" s="266" t="s">
        <v>705</v>
      </c>
      <c r="J44" s="260">
        <f>('Pivot Table for Data Exchange'!$C$132)*100</f>
        <v>0</v>
      </c>
      <c r="K44" s="260">
        <f>('Pivot Table for Data Exchange'!$C$135)*100</f>
        <v>0</v>
      </c>
      <c r="L44" s="261">
        <f t="shared" si="5"/>
        <v>0</v>
      </c>
      <c r="M44" s="260">
        <f>('Pivot Table for Data Exchange'!$C$138)*100</f>
        <v>0</v>
      </c>
      <c r="N44" s="260">
        <f>('Pivot Table for Data Exchange'!$C$141)*100</f>
        <v>0</v>
      </c>
      <c r="O44" s="267">
        <f>('Pivot Table for Data Exchange'!$C$144)*100</f>
        <v>0</v>
      </c>
      <c r="P44" s="260">
        <f>('Pivot Table for Data Exchange'!$C$147)*100</f>
        <v>0</v>
      </c>
      <c r="Q44" s="265">
        <f t="shared" si="3"/>
        <v>0</v>
      </c>
      <c r="R44" s="265">
        <f t="shared" si="2"/>
        <v>0</v>
      </c>
      <c r="S44" s="266"/>
      <c r="U44" s="266"/>
      <c r="V44" s="266"/>
      <c r="W44" s="266"/>
      <c r="X44" s="266"/>
      <c r="Y44" s="266"/>
      <c r="Z44" s="266"/>
      <c r="AA44" s="266"/>
      <c r="AB44" s="266"/>
      <c r="AC44" s="266"/>
      <c r="AD44" s="266"/>
      <c r="AE44" s="266"/>
      <c r="AF44" s="266"/>
      <c r="AG44" s="266"/>
      <c r="AH44" s="266"/>
      <c r="AI44" s="266"/>
      <c r="AJ44" s="266"/>
      <c r="AK44" s="266"/>
      <c r="AL44" s="266"/>
      <c r="AM44" s="266"/>
      <c r="AN44" s="266"/>
      <c r="AO44" s="266"/>
    </row>
    <row r="45" spans="1:41" ht="10.5" customHeight="1">
      <c r="B45" s="260"/>
      <c r="C45" s="260"/>
      <c r="D45" s="261"/>
      <c r="E45" s="260"/>
      <c r="F45" s="260"/>
      <c r="G45" s="268"/>
      <c r="H45" s="260"/>
      <c r="I45" s="266"/>
      <c r="J45" s="260"/>
      <c r="K45" s="260"/>
      <c r="L45" s="261"/>
      <c r="M45" s="260"/>
      <c r="N45" s="260"/>
      <c r="O45" s="268"/>
      <c r="P45" s="260"/>
      <c r="Q45" s="265">
        <f t="shared" si="3"/>
        <v>0</v>
      </c>
      <c r="R45" s="265">
        <f t="shared" si="2"/>
        <v>0</v>
      </c>
      <c r="S45" s="266"/>
      <c r="U45" s="266"/>
      <c r="V45" s="266"/>
      <c r="W45" s="266"/>
      <c r="X45" s="266"/>
      <c r="Y45" s="266"/>
      <c r="Z45" s="266"/>
      <c r="AA45" s="266"/>
      <c r="AB45" s="266"/>
      <c r="AC45" s="266"/>
      <c r="AD45" s="266"/>
      <c r="AE45" s="266"/>
      <c r="AF45" s="266"/>
      <c r="AG45" s="266"/>
      <c r="AH45" s="266"/>
      <c r="AI45" s="266"/>
      <c r="AJ45" s="266"/>
      <c r="AK45" s="266"/>
      <c r="AL45" s="266"/>
      <c r="AM45" s="266"/>
      <c r="AN45" s="266"/>
      <c r="AO45" s="266"/>
    </row>
    <row r="46" spans="1:41" ht="15.75" customHeight="1">
      <c r="A46" s="231" t="s">
        <v>670</v>
      </c>
      <c r="B46" s="260">
        <f>('Pivot Table for Data Exchange'!$C$150)*100</f>
        <v>84.783453924052054</v>
      </c>
      <c r="C46" s="260">
        <f>('Pivot Table for Data Exchange'!$C$153)*100</f>
        <v>1.6366502023264098</v>
      </c>
      <c r="D46" s="261">
        <f t="shared" ref="D46:D49" si="6">SUM(E46:G46)</f>
        <v>13.579895873621538</v>
      </c>
      <c r="E46" s="260">
        <f>('Pivot Table for Data Exchange'!$C$156)*100</f>
        <v>13.579895873621538</v>
      </c>
      <c r="F46" s="260">
        <f>('Pivot Table for Data Exchange'!$C$159)*100</f>
        <v>0</v>
      </c>
      <c r="G46" s="268">
        <f>('Pivot Table for Data Exchange'!$C$162)*100</f>
        <v>0</v>
      </c>
      <c r="H46" s="260">
        <f>('Pivot Table for Data Exchange'!$C$165)*100</f>
        <v>0</v>
      </c>
      <c r="I46" s="266" t="s">
        <v>670</v>
      </c>
      <c r="J46" s="260">
        <f>('Pivot Table for Data Exchange'!$C$168)*100</f>
        <v>68.759813351239487</v>
      </c>
      <c r="K46" s="260">
        <f>('Pivot Table for Data Exchange'!$C$171)*100</f>
        <v>25.194850949543735</v>
      </c>
      <c r="L46" s="261">
        <f t="shared" ref="L46:L49" si="7">SUM(M46:O46)</f>
        <v>6.0453356992167793</v>
      </c>
      <c r="M46" s="260">
        <f>('Pivot Table for Data Exchange'!$C$174)*100</f>
        <v>6.0453356992167793</v>
      </c>
      <c r="N46" s="260">
        <f>('Pivot Table for Data Exchange'!$C$177)*100</f>
        <v>0</v>
      </c>
      <c r="O46" s="268">
        <f>('Pivot Table for Data Exchange'!$C$180)*100</f>
        <v>0</v>
      </c>
      <c r="P46" s="260">
        <f>('Pivot Table for Data Exchange'!$C$183)*100</f>
        <v>0</v>
      </c>
      <c r="Q46" s="265">
        <f t="shared" si="3"/>
        <v>100</v>
      </c>
      <c r="R46" s="265">
        <f t="shared" si="2"/>
        <v>100</v>
      </c>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row>
    <row r="47" spans="1:41" ht="15.75" customHeight="1">
      <c r="A47" s="231" t="s">
        <v>671</v>
      </c>
      <c r="B47" s="260">
        <f>('Pivot Table for Data Exchange'!$C$186)*100</f>
        <v>87.05263874367327</v>
      </c>
      <c r="C47" s="260">
        <f>('Pivot Table for Data Exchange'!$C$189)*100</f>
        <v>2.0888360335559941</v>
      </c>
      <c r="D47" s="261">
        <f t="shared" si="6"/>
        <v>10.858525222770734</v>
      </c>
      <c r="E47" s="260">
        <f>('Pivot Table for Data Exchange'!$C$192)*100</f>
        <v>10.694885868404086</v>
      </c>
      <c r="F47" s="260">
        <f>('Pivot Table for Data Exchange'!$C$195)*100</f>
        <v>5.104867207278406E-2</v>
      </c>
      <c r="G47" s="270">
        <f>('Pivot Table for Data Exchange'!$C$198)*100</f>
        <v>0.11259068229386261</v>
      </c>
      <c r="H47" s="260">
        <f>('Pivot Table for Data Exchange'!$C$201)*100</f>
        <v>0</v>
      </c>
      <c r="I47" s="266" t="s">
        <v>671</v>
      </c>
      <c r="J47" s="260">
        <f>('Pivot Table for Data Exchange'!$C$204)*100</f>
        <v>72.33806457906546</v>
      </c>
      <c r="K47" s="260">
        <f>('Pivot Table for Data Exchange'!$C$207)*100</f>
        <v>3.9880255584820992</v>
      </c>
      <c r="L47" s="261">
        <f t="shared" si="7"/>
        <v>23.67390986245244</v>
      </c>
      <c r="M47" s="260">
        <f>('Pivot Table for Data Exchange'!$C$210)*100</f>
        <v>23.501365720417517</v>
      </c>
      <c r="N47" s="260">
        <f>('Pivot Table for Data Exchange'!$C$213)*100</f>
        <v>0</v>
      </c>
      <c r="O47" s="271">
        <f>('Pivot Table for Data Exchange'!$C$216)*100</f>
        <v>0.17254414203492344</v>
      </c>
      <c r="P47" s="260">
        <f>('Pivot Table for Data Exchange'!$C$219)*100</f>
        <v>0</v>
      </c>
      <c r="Q47" s="265">
        <f t="shared" si="3"/>
        <v>100</v>
      </c>
      <c r="R47" s="265">
        <f t="shared" si="2"/>
        <v>100</v>
      </c>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row>
    <row r="48" spans="1:41" ht="15.75" customHeight="1">
      <c r="A48" s="231" t="s">
        <v>672</v>
      </c>
      <c r="B48" s="260">
        <f>('Pivot Table for Data Exchange'!$C$222)*100</f>
        <v>96.402877697841717</v>
      </c>
      <c r="C48" s="260">
        <f>('Pivot Table for Data Exchange'!$C$225)*100</f>
        <v>0</v>
      </c>
      <c r="D48" s="261">
        <f t="shared" si="6"/>
        <v>3.5971223021582803</v>
      </c>
      <c r="E48" s="260">
        <f>('Pivot Table for Data Exchange'!$C$228)*100</f>
        <v>3.5971223021582803</v>
      </c>
      <c r="F48" s="260">
        <f>('Pivot Table for Data Exchange'!$C$231)*100</f>
        <v>0</v>
      </c>
      <c r="G48" s="268">
        <f>('Pivot Table for Data Exchange'!$C$234)*100</f>
        <v>0</v>
      </c>
      <c r="H48" s="260">
        <f>('Pivot Table for Data Exchange'!$C$237)*100</f>
        <v>0</v>
      </c>
      <c r="I48" s="266" t="s">
        <v>672</v>
      </c>
      <c r="J48" s="260">
        <f>('Pivot Table for Data Exchange'!$C$240)*100</f>
        <v>94.141769185705897</v>
      </c>
      <c r="K48" s="260">
        <f>('Pivot Table for Data Exchange'!$C$243)*100</f>
        <v>0</v>
      </c>
      <c r="L48" s="261">
        <f t="shared" si="7"/>
        <v>5.8582308142940986</v>
      </c>
      <c r="M48" s="260">
        <f>('Pivot Table for Data Exchange'!$C$246)*100</f>
        <v>5.8582308142940986</v>
      </c>
      <c r="N48" s="260">
        <f>('Pivot Table for Data Exchange'!$C$249)*100</f>
        <v>0</v>
      </c>
      <c r="O48" s="268">
        <f>('Pivot Table for Data Exchange'!$C$252)*100</f>
        <v>0</v>
      </c>
      <c r="P48" s="260">
        <f>('Pivot Table for Data Exchange'!$C$255)*100</f>
        <v>0</v>
      </c>
      <c r="Q48" s="265">
        <f t="shared" si="3"/>
        <v>100</v>
      </c>
      <c r="R48" s="265">
        <f t="shared" si="2"/>
        <v>100</v>
      </c>
      <c r="S48" s="266"/>
      <c r="T48" s="240"/>
      <c r="U48" s="266"/>
      <c r="V48" s="266"/>
      <c r="W48" s="266"/>
      <c r="X48" s="266"/>
      <c r="Y48" s="266"/>
      <c r="Z48" s="266"/>
      <c r="AA48" s="266"/>
      <c r="AB48" s="266"/>
      <c r="AC48" s="266"/>
      <c r="AD48" s="266"/>
      <c r="AE48" s="266"/>
      <c r="AF48" s="266"/>
      <c r="AG48" s="266"/>
      <c r="AH48" s="266"/>
      <c r="AI48" s="266"/>
      <c r="AJ48" s="266"/>
      <c r="AK48" s="266"/>
      <c r="AL48" s="266"/>
      <c r="AM48" s="266"/>
      <c r="AN48" s="266"/>
      <c r="AO48" s="266"/>
    </row>
    <row r="49" spans="1:41" ht="15.75" customHeight="1">
      <c r="A49" s="231" t="s">
        <v>673</v>
      </c>
      <c r="B49" s="260">
        <f>('Pivot Table for Data Exchange'!$C$258)*100</f>
        <v>93.571228510385154</v>
      </c>
      <c r="C49" s="260">
        <f>('Pivot Table for Data Exchange'!$C$261)*100</f>
        <v>1.7409278930397607</v>
      </c>
      <c r="D49" s="261">
        <f t="shared" si="6"/>
        <v>4.6878435965750871</v>
      </c>
      <c r="E49" s="260">
        <f>('Pivot Table for Data Exchange'!$C$264)*100</f>
        <v>4.5770825279911849</v>
      </c>
      <c r="F49" s="260">
        <f>('Pivot Table for Data Exchange'!$C$267)*100</f>
        <v>0.11076106858390179</v>
      </c>
      <c r="G49" s="268">
        <f>('Pivot Table for Data Exchange'!$C$270)*100</f>
        <v>0</v>
      </c>
      <c r="H49" s="260">
        <f>('Pivot Table for Data Exchange'!$C$273)*100</f>
        <v>0</v>
      </c>
      <c r="I49" s="266" t="s">
        <v>673</v>
      </c>
      <c r="J49" s="260">
        <f>('Pivot Table for Data Exchange'!$C$276)*100</f>
        <v>76.953117630412223</v>
      </c>
      <c r="K49" s="260">
        <f>('Pivot Table for Data Exchange'!$C$279)*100</f>
        <v>10.636732383737384</v>
      </c>
      <c r="L49" s="261">
        <f t="shared" si="7"/>
        <v>12.410149985850392</v>
      </c>
      <c r="M49" s="260">
        <f>('Pivot Table for Data Exchange'!$C$282)*100</f>
        <v>12.090683268874006</v>
      </c>
      <c r="N49" s="260">
        <f>('Pivot Table for Data Exchange'!$C$285)*100</f>
        <v>0.3194667169763859</v>
      </c>
      <c r="O49" s="268">
        <f>('Pivot Table for Data Exchange'!$C$288)*100</f>
        <v>0</v>
      </c>
      <c r="P49" s="260">
        <f>('Pivot Table for Data Exchange'!$C$291)*100</f>
        <v>0</v>
      </c>
      <c r="Q49" s="265">
        <f t="shared" si="3"/>
        <v>100.00000000000001</v>
      </c>
      <c r="R49" s="265">
        <f t="shared" si="2"/>
        <v>100</v>
      </c>
      <c r="S49" s="266"/>
      <c r="U49" s="266"/>
      <c r="V49" s="266"/>
      <c r="W49" s="266"/>
      <c r="X49" s="266"/>
      <c r="Y49" s="266"/>
      <c r="Z49" s="266"/>
      <c r="AA49" s="266"/>
      <c r="AB49" s="266"/>
      <c r="AC49" s="266"/>
      <c r="AD49" s="266"/>
      <c r="AE49" s="266"/>
      <c r="AF49" s="266"/>
      <c r="AG49" s="266"/>
      <c r="AH49" s="266"/>
      <c r="AI49" s="266"/>
      <c r="AJ49" s="266"/>
      <c r="AK49" s="266"/>
      <c r="AL49" s="266"/>
      <c r="AM49" s="266"/>
      <c r="AN49" s="266"/>
      <c r="AO49" s="266"/>
    </row>
    <row r="50" spans="1:41" ht="12" customHeight="1">
      <c r="B50" s="260"/>
      <c r="C50" s="260"/>
      <c r="D50" s="261"/>
      <c r="E50" s="260"/>
      <c r="F50" s="260"/>
      <c r="G50" s="268"/>
      <c r="H50" s="260"/>
      <c r="I50" s="266"/>
      <c r="J50" s="260"/>
      <c r="K50" s="260"/>
      <c r="L50" s="261"/>
      <c r="M50" s="260"/>
      <c r="N50" s="260"/>
      <c r="O50" s="268"/>
      <c r="P50" s="260"/>
      <c r="Q50" s="265">
        <f t="shared" si="3"/>
        <v>0</v>
      </c>
      <c r="R50" s="265">
        <f t="shared" si="2"/>
        <v>0</v>
      </c>
      <c r="S50" s="266"/>
      <c r="U50" s="266"/>
      <c r="V50" s="266"/>
      <c r="W50" s="266"/>
      <c r="X50" s="266"/>
      <c r="Y50" s="266"/>
      <c r="Z50" s="266"/>
      <c r="AA50" s="266"/>
      <c r="AB50" s="266"/>
      <c r="AC50" s="266"/>
      <c r="AD50" s="266"/>
      <c r="AE50" s="266"/>
      <c r="AF50" s="266"/>
      <c r="AG50" s="266"/>
      <c r="AH50" s="266"/>
      <c r="AI50" s="266"/>
      <c r="AJ50" s="266"/>
      <c r="AK50" s="266"/>
      <c r="AL50" s="266"/>
      <c r="AM50" s="266"/>
      <c r="AN50" s="266"/>
      <c r="AO50" s="266"/>
    </row>
    <row r="51" spans="1:41" ht="15.75" customHeight="1">
      <c r="A51" s="231" t="s">
        <v>674</v>
      </c>
      <c r="B51" s="260">
        <f>('Pivot Table for Data Exchange'!$C$294)*100</f>
        <v>79.963488708531898</v>
      </c>
      <c r="C51" s="260">
        <f>('Pivot Table for Data Exchange'!$C$297)*100</f>
        <v>4.7892512347216281</v>
      </c>
      <c r="D51" s="261">
        <f t="shared" ref="D51:D53" si="8">SUM(E51:G51)</f>
        <v>14.935573108788182</v>
      </c>
      <c r="E51" s="260">
        <f>('Pivot Table for Data Exchange'!$C$300)*100</f>
        <v>13.954678035825907</v>
      </c>
      <c r="F51" s="260">
        <f>('Pivot Table for Data Exchange'!$C$303)*100</f>
        <v>0.9804693680481501</v>
      </c>
      <c r="G51" s="271">
        <f>('Pivot Table for Data Exchange'!$C$306)*100</f>
        <v>4.2570491412467624E-4</v>
      </c>
      <c r="H51" s="287">
        <f>('Pivot Table for Data Exchange'!$C$309)*100</f>
        <v>0.31168694795828372</v>
      </c>
      <c r="I51" s="266" t="s">
        <v>674</v>
      </c>
      <c r="J51" s="260">
        <f>('Pivot Table for Data Exchange'!$C$312)*100</f>
        <v>71.888324347340742</v>
      </c>
      <c r="K51" s="260">
        <f>('Pivot Table for Data Exchange'!$C$315)*100</f>
        <v>3.9893203827630055</v>
      </c>
      <c r="L51" s="261">
        <f t="shared" ref="L51:L53" si="9">SUM(M51:O51)</f>
        <v>24.090132286853599</v>
      </c>
      <c r="M51" s="260">
        <f>('Pivot Table for Data Exchange'!$C$318)*100</f>
        <v>23.015265638216459</v>
      </c>
      <c r="N51" s="260">
        <f>('Pivot Table for Data Exchange'!$C$321)*100</f>
        <v>1.0748666486371403</v>
      </c>
      <c r="O51" s="267">
        <f>('Pivot Table for Data Exchange'!$C$324)*100</f>
        <v>0</v>
      </c>
      <c r="P51" s="272">
        <f>('Pivot Table for Data Exchange'!$C$327)*100</f>
        <v>3.2222983042655175E-2</v>
      </c>
      <c r="Q51" s="265">
        <f t="shared" si="3"/>
        <v>99.999999999999986</v>
      </c>
      <c r="R51" s="265">
        <f t="shared" si="2"/>
        <v>100.00000000000001</v>
      </c>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row>
    <row r="52" spans="1:41" ht="15.75" customHeight="1">
      <c r="A52" s="231" t="s">
        <v>675</v>
      </c>
      <c r="B52" s="260">
        <f>('Pivot Table for Data Exchange'!$C$330)*100</f>
        <v>84.818947893459807</v>
      </c>
      <c r="C52" s="260">
        <f>('Pivot Table for Data Exchange'!$C$333)*100</f>
        <v>0.91408105202313106</v>
      </c>
      <c r="D52" s="261">
        <f t="shared" si="8"/>
        <v>14.266971054517064</v>
      </c>
      <c r="E52" s="260">
        <f>('Pivot Table for Data Exchange'!$C$336)*100</f>
        <v>14.259881275392877</v>
      </c>
      <c r="F52" s="272">
        <f>('Pivot Table for Data Exchange'!$C$339)*100</f>
        <v>4.0870491421784311E-3</v>
      </c>
      <c r="G52" s="267">
        <f>('Pivot Table for Data Exchange'!$C$342)*100</f>
        <v>3.0027299820086428E-3</v>
      </c>
      <c r="H52" s="260">
        <f>('Pivot Table for Data Exchange'!$C$345)*100</f>
        <v>0</v>
      </c>
      <c r="I52" s="266" t="s">
        <v>675</v>
      </c>
      <c r="J52" s="260">
        <f>('Pivot Table for Data Exchange'!$C$348)*100</f>
        <v>79.535094063118365</v>
      </c>
      <c r="K52" s="260">
        <f>('Pivot Table for Data Exchange'!$C$351)*100</f>
        <v>1.8835521683461722</v>
      </c>
      <c r="L52" s="261">
        <f t="shared" si="9"/>
        <v>18.581353768535461</v>
      </c>
      <c r="M52" s="260">
        <f>('Pivot Table for Data Exchange'!$C$354)*100</f>
        <v>18.55731085766406</v>
      </c>
      <c r="N52" s="269">
        <f>('Pivot Table for Data Exchange'!$C$357)*100</f>
        <v>2.4042910871402864E-2</v>
      </c>
      <c r="O52" s="268">
        <f>('Pivot Table for Data Exchange'!$C$360)*100</f>
        <v>0</v>
      </c>
      <c r="P52" s="260">
        <f>('Pivot Table for Data Exchange'!$C$363)*100</f>
        <v>0</v>
      </c>
      <c r="Q52" s="265">
        <f t="shared" si="3"/>
        <v>100</v>
      </c>
      <c r="R52" s="265">
        <f t="shared" si="2"/>
        <v>100</v>
      </c>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row>
    <row r="53" spans="1:41" ht="15.75" customHeight="1">
      <c r="A53" s="231" t="s">
        <v>676</v>
      </c>
      <c r="B53" s="260">
        <f>('Pivot Table for Data Exchange'!$C$366)*100</f>
        <v>84.380675355979847</v>
      </c>
      <c r="C53" s="260">
        <f>('Pivot Table for Data Exchange'!$C$369)*100</f>
        <v>1.209694108142382</v>
      </c>
      <c r="D53" s="261">
        <f t="shared" si="8"/>
        <v>14.409630535877769</v>
      </c>
      <c r="E53" s="260">
        <f>('Pivot Table for Data Exchange'!$C$372)*100</f>
        <v>14.331572403677258</v>
      </c>
      <c r="F53" s="260">
        <f>('Pivot Table for Data Exchange'!$C$375)*100</f>
        <v>1.614139531187659E-2</v>
      </c>
      <c r="G53" s="268">
        <f>('Pivot Table for Data Exchange'!$C$378)*100</f>
        <v>6.1916736888634305E-2</v>
      </c>
      <c r="H53" s="260">
        <f>('Pivot Table for Data Exchange'!$C$381)*100</f>
        <v>0</v>
      </c>
      <c r="I53" s="266" t="s">
        <v>676</v>
      </c>
      <c r="J53" s="260">
        <f>('Pivot Table for Data Exchange'!$C$384)*100</f>
        <v>72.898718405126388</v>
      </c>
      <c r="K53" s="260">
        <f>('Pivot Table for Data Exchange'!$C$387)*100</f>
        <v>6.4684941260234954</v>
      </c>
      <c r="L53" s="261">
        <f t="shared" si="9"/>
        <v>20.632787468850125</v>
      </c>
      <c r="M53" s="260">
        <f>('Pivot Table for Data Exchange'!$C$390)*100</f>
        <v>19.754805980776077</v>
      </c>
      <c r="N53" s="260">
        <f>('Pivot Table for Data Exchange'!$C$393)*100</f>
        <v>0.11614453542185832</v>
      </c>
      <c r="O53" s="268">
        <f>('Pivot Table for Data Exchange'!$C$396)*100</f>
        <v>0.76183695265218931</v>
      </c>
      <c r="P53" s="260">
        <f>('Pivot Table for Data Exchange'!$C$399)*100</f>
        <v>0</v>
      </c>
      <c r="Q53" s="265">
        <f t="shared" si="3"/>
        <v>100</v>
      </c>
      <c r="R53" s="265">
        <f t="shared" si="2"/>
        <v>100.00000000000001</v>
      </c>
      <c r="S53" s="266"/>
      <c r="T53" s="240"/>
      <c r="U53" s="266"/>
      <c r="V53" s="266"/>
      <c r="W53" s="266"/>
      <c r="X53" s="266"/>
      <c r="Y53" s="266"/>
      <c r="Z53" s="266"/>
      <c r="AA53" s="266"/>
      <c r="AB53" s="266"/>
      <c r="AC53" s="266"/>
      <c r="AD53" s="266"/>
      <c r="AE53" s="266"/>
      <c r="AF53" s="266"/>
      <c r="AG53" s="266"/>
      <c r="AH53" s="266"/>
      <c r="AI53" s="266"/>
      <c r="AJ53" s="266"/>
      <c r="AK53" s="266"/>
      <c r="AL53" s="266"/>
      <c r="AM53" s="266"/>
      <c r="AN53" s="266"/>
      <c r="AO53" s="266"/>
    </row>
    <row r="54" spans="1:41" ht="15.75" customHeight="1">
      <c r="A54" s="231" t="s">
        <v>677</v>
      </c>
      <c r="B54" s="260">
        <f>('Pivot Table for Data Exchange'!$C$402)*100</f>
        <v>88.042748057019111</v>
      </c>
      <c r="C54" s="260">
        <f>('Pivot Table for Data Exchange'!$C$405)*100</f>
        <v>1.593955752632112</v>
      </c>
      <c r="D54" s="261">
        <f>SUM(E54:G54)</f>
        <v>10.36329619034877</v>
      </c>
      <c r="E54" s="260">
        <f>('Pivot Table for Data Exchange'!$C$408)*100</f>
        <v>10.359261217754728</v>
      </c>
      <c r="F54" s="260">
        <f>('Pivot Table for Data Exchange'!$C$411)*100</f>
        <v>4.0349725940414076E-3</v>
      </c>
      <c r="G54" s="268">
        <f>('Pivot Table for Data Exchange'!$C$414)*100</f>
        <v>0</v>
      </c>
      <c r="H54" s="260">
        <f>('Pivot Table for Data Exchange'!$C$417)*100</f>
        <v>0</v>
      </c>
      <c r="I54" s="266" t="s">
        <v>677</v>
      </c>
      <c r="J54" s="260">
        <f>('Pivot Table for Data Exchange'!$C$420)*100</f>
        <v>64.692885885657887</v>
      </c>
      <c r="K54" s="260">
        <f>('Pivot Table for Data Exchange'!$C$423)*100</f>
        <v>11.366638827727584</v>
      </c>
      <c r="L54" s="261">
        <f>SUM(M54:O54)</f>
        <v>23.940475286614532</v>
      </c>
      <c r="M54" s="260">
        <f>('Pivot Table for Data Exchange'!$C$426)*100</f>
        <v>19.391466099764635</v>
      </c>
      <c r="N54" s="260">
        <f>('Pivot Table for Data Exchange'!$C$429)*100</f>
        <v>4.5490091868498981</v>
      </c>
      <c r="O54" s="268">
        <f>('Pivot Table for Data Exchange'!$C$432)*100</f>
        <v>0</v>
      </c>
      <c r="P54" s="260">
        <f>('Pivot Table for Data Exchange'!$C$435)*100</f>
        <v>0</v>
      </c>
      <c r="Q54" s="265">
        <f t="shared" si="3"/>
        <v>100</v>
      </c>
      <c r="R54" s="265">
        <f t="shared" si="2"/>
        <v>100</v>
      </c>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row>
    <row r="55" spans="1:41" ht="14.25" customHeight="1">
      <c r="B55" s="260"/>
      <c r="C55" s="260"/>
      <c r="D55" s="261"/>
      <c r="E55" s="260"/>
      <c r="F55" s="260"/>
      <c r="G55" s="268"/>
      <c r="H55" s="260"/>
      <c r="I55" s="266"/>
      <c r="J55" s="260"/>
      <c r="K55" s="260"/>
      <c r="L55" s="261"/>
      <c r="M55" s="260"/>
      <c r="N55" s="260"/>
      <c r="O55" s="268"/>
      <c r="P55" s="260"/>
      <c r="Q55" s="265">
        <f t="shared" si="3"/>
        <v>0</v>
      </c>
      <c r="R55" s="265">
        <f t="shared" si="2"/>
        <v>0</v>
      </c>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row>
    <row r="56" spans="1:41" ht="15.75" customHeight="1">
      <c r="A56" s="231" t="s">
        <v>678</v>
      </c>
      <c r="B56" s="260">
        <f>('Pivot Table for Data Exchange'!$C$438)*100</f>
        <v>81.922754377625523</v>
      </c>
      <c r="C56" s="260">
        <f>('Pivot Table for Data Exchange'!$C$441)*100</f>
        <v>1.8492110419347734</v>
      </c>
      <c r="D56" s="261">
        <f>SUM(E56:G56)</f>
        <v>15.717134476481977</v>
      </c>
      <c r="E56" s="260">
        <f>('Pivot Table for Data Exchange'!$C$444)*100</f>
        <v>12.182861272458156</v>
      </c>
      <c r="F56" s="287">
        <f>('Pivot Table for Data Exchange'!$C$447)*100</f>
        <v>1.3332869581347896E-2</v>
      </c>
      <c r="G56" s="268">
        <f>('Pivot Table for Data Exchange'!$C$450)*100</f>
        <v>3.5209403344424732</v>
      </c>
      <c r="H56" s="260">
        <f>('Pivot Table for Data Exchange'!$C$453)*100</f>
        <v>0.51090010395773677</v>
      </c>
      <c r="I56" s="266" t="s">
        <v>678</v>
      </c>
      <c r="J56" s="260">
        <f>('Pivot Table for Data Exchange'!$C$456)*100</f>
        <v>67.444735311227461</v>
      </c>
      <c r="K56" s="260">
        <f>('Pivot Table for Data Exchange'!$C$459)*100</f>
        <v>1.5363054630070336</v>
      </c>
      <c r="L56" s="261">
        <f>SUM(M56:O56)</f>
        <v>27.504098577397006</v>
      </c>
      <c r="M56" s="260">
        <f>('Pivot Table for Data Exchange'!$C$462)*100</f>
        <v>24.457269025331851</v>
      </c>
      <c r="N56" s="260">
        <f>('Pivot Table for Data Exchange'!$C$465)*100</f>
        <v>0.10907504363001745</v>
      </c>
      <c r="O56" s="268">
        <f>('Pivot Table for Data Exchange'!$C$468)*100</f>
        <v>2.9377545084351366</v>
      </c>
      <c r="P56" s="260">
        <f>('Pivot Table for Data Exchange'!$C$471)*100</f>
        <v>3.5148606483685016</v>
      </c>
      <c r="Q56" s="265">
        <f t="shared" si="3"/>
        <v>100.00000000000001</v>
      </c>
      <c r="R56" s="265">
        <f t="shared" si="2"/>
        <v>100</v>
      </c>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row>
    <row r="57" spans="1:41" ht="15.75" customHeight="1">
      <c r="A57" s="231" t="s">
        <v>679</v>
      </c>
      <c r="B57" s="260">
        <f>('Pivot Table for Data Exchange'!$C$474)*100</f>
        <v>0</v>
      </c>
      <c r="C57" s="260">
        <f>('Pivot Table for Data Exchange'!$C$477)*100</f>
        <v>0</v>
      </c>
      <c r="D57" s="261">
        <f>SUM(E57:G57)</f>
        <v>0</v>
      </c>
      <c r="E57" s="260">
        <f>('Pivot Table for Data Exchange'!$C$480)*100</f>
        <v>0</v>
      </c>
      <c r="F57" s="260">
        <f>('Pivot Table for Data Exchange'!$C$483)*100</f>
        <v>0</v>
      </c>
      <c r="G57" s="268">
        <f>('Pivot Table for Data Exchange'!$C$486)*100</f>
        <v>0</v>
      </c>
      <c r="H57" s="260">
        <f>('Pivot Table for Data Exchange'!$C$489)*100</f>
        <v>0</v>
      </c>
      <c r="I57" s="266" t="s">
        <v>679</v>
      </c>
      <c r="J57" s="260">
        <f>('Pivot Table for Data Exchange'!$C$492)*100</f>
        <v>0</v>
      </c>
      <c r="K57" s="260">
        <f>('Pivot Table for Data Exchange'!$C$495)*100</f>
        <v>0</v>
      </c>
      <c r="L57" s="261">
        <f>SUM(M57:O57)</f>
        <v>0</v>
      </c>
      <c r="M57" s="260">
        <f>('Pivot Table for Data Exchange'!$C$498)*100</f>
        <v>0</v>
      </c>
      <c r="N57" s="260">
        <f>('Pivot Table for Data Exchange'!$C$501)*100</f>
        <v>0</v>
      </c>
      <c r="O57" s="268">
        <f>('Pivot Table for Data Exchange'!$C$504)*100</f>
        <v>0</v>
      </c>
      <c r="P57" s="260">
        <f>('Pivot Table for Data Exchange'!$C$507)*100</f>
        <v>0</v>
      </c>
      <c r="Q57" s="265">
        <f t="shared" si="3"/>
        <v>0</v>
      </c>
      <c r="R57" s="265">
        <f t="shared" si="2"/>
        <v>0</v>
      </c>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row>
    <row r="58" spans="1:41" ht="15.75" customHeight="1">
      <c r="A58" s="231" t="s">
        <v>680</v>
      </c>
      <c r="B58" s="260">
        <f>('Pivot Table for Data Exchange'!$C$510)*100</f>
        <v>88.057715238799261</v>
      </c>
      <c r="C58" s="260">
        <f>('Pivot Table for Data Exchange'!$C$513)*100</f>
        <v>1.278861643654122</v>
      </c>
      <c r="D58" s="261">
        <f t="shared" ref="D58" si="10">SUM(E58:G58)</f>
        <v>10.663423117546616</v>
      </c>
      <c r="E58" s="260">
        <f>('Pivot Table for Data Exchange'!$C$516)*100</f>
        <v>9.7699767088532354</v>
      </c>
      <c r="F58" s="260">
        <f>('Pivot Table for Data Exchange'!$C$519)*100</f>
        <v>0.89134141403635203</v>
      </c>
      <c r="G58" s="268">
        <f>('Pivot Table for Data Exchange'!$C$522)*100</f>
        <v>2.1049946570282675E-3</v>
      </c>
      <c r="H58" s="260">
        <f>('Pivot Table for Data Exchange'!$C$525)*100</f>
        <v>0</v>
      </c>
      <c r="I58" s="266" t="s">
        <v>680</v>
      </c>
      <c r="J58" s="260">
        <f>('Pivot Table for Data Exchange'!$C$528)*100</f>
        <v>78.038644267377308</v>
      </c>
      <c r="K58" s="260">
        <f>('Pivot Table for Data Exchange'!$C$531)*100</f>
        <v>6.5928787838239451</v>
      </c>
      <c r="L58" s="261">
        <f t="shared" ref="L58" si="11">SUM(M58:O58)</f>
        <v>15.36847694879874</v>
      </c>
      <c r="M58" s="260">
        <f>('Pivot Table for Data Exchange'!$C$534)*100</f>
        <v>11.958933071160047</v>
      </c>
      <c r="N58" s="260">
        <f>('Pivot Table for Data Exchange'!$C$537)*100</f>
        <v>3.1926311652860786</v>
      </c>
      <c r="O58" s="268">
        <f>('Pivot Table for Data Exchange'!$C$540)*100</f>
        <v>0.21691271235261558</v>
      </c>
      <c r="P58" s="260">
        <f>('Pivot Table for Data Exchange'!$C$543)*100</f>
        <v>0</v>
      </c>
      <c r="Q58" s="265">
        <f t="shared" si="3"/>
        <v>100</v>
      </c>
      <c r="R58" s="265">
        <f t="shared" si="2"/>
        <v>100</v>
      </c>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row>
    <row r="59" spans="1:41" ht="15.75" customHeight="1">
      <c r="A59" s="237" t="s">
        <v>681</v>
      </c>
      <c r="B59" s="273">
        <f>('Pivot Table for Data Exchange'!$C$546)*100</f>
        <v>87.792328158582279</v>
      </c>
      <c r="C59" s="273">
        <f>('Pivot Table for Data Exchange'!$C$549)*100</f>
        <v>0.53148395241253121</v>
      </c>
      <c r="D59" s="274">
        <f>SUM(E59:G59)</f>
        <v>11.676187889005185</v>
      </c>
      <c r="E59" s="273">
        <f>('Pivot Table for Data Exchange'!$C$552)*100</f>
        <v>11.295552057782499</v>
      </c>
      <c r="F59" s="288">
        <f>('Pivot Table for Data Exchange'!$C$555)*100</f>
        <v>0</v>
      </c>
      <c r="G59" s="275">
        <f>('Pivot Table for Data Exchange'!$C$558)*100</f>
        <v>0.38063583122268474</v>
      </c>
      <c r="H59" s="273">
        <f>('Pivot Table for Data Exchange'!$C$561)*100</f>
        <v>0</v>
      </c>
      <c r="I59" s="276" t="s">
        <v>681</v>
      </c>
      <c r="J59" s="273">
        <f>('Pivot Table for Data Exchange'!$C$564)*100</f>
        <v>67.397260273972606</v>
      </c>
      <c r="K59" s="273">
        <f>('Pivot Table for Data Exchange'!$C$567)*100</f>
        <v>3.9888553517529601</v>
      </c>
      <c r="L59" s="274">
        <f>SUM(M59:O59)</f>
        <v>28.613884374274434</v>
      </c>
      <c r="M59" s="273">
        <f>('Pivot Table for Data Exchange'!$C$570)*100</f>
        <v>27.917343858834453</v>
      </c>
      <c r="N59" s="273">
        <f>('Pivot Table for Data Exchange'!$C$573)*100</f>
        <v>0</v>
      </c>
      <c r="O59" s="275">
        <f>('Pivot Table for Data Exchange'!$C$576)*100</f>
        <v>0.69654051543998141</v>
      </c>
      <c r="P59" s="273">
        <f>('Pivot Table for Data Exchange'!$C$579)*100</f>
        <v>0</v>
      </c>
      <c r="Q59" s="265">
        <f t="shared" si="3"/>
        <v>100</v>
      </c>
      <c r="R59" s="265">
        <f t="shared" si="2"/>
        <v>100</v>
      </c>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row>
    <row r="60" spans="1:41" s="278" customFormat="1" ht="13.5" customHeight="1">
      <c r="A60" s="279" t="s">
        <v>706</v>
      </c>
      <c r="B60" s="280"/>
      <c r="C60" s="280"/>
      <c r="D60" s="281"/>
      <c r="E60" s="280"/>
      <c r="F60" s="281"/>
      <c r="G60" s="281"/>
      <c r="H60" s="280"/>
      <c r="I60" s="279" t="s">
        <v>706</v>
      </c>
      <c r="J60" s="280"/>
      <c r="K60" s="280"/>
      <c r="L60" s="281"/>
      <c r="M60" s="280"/>
      <c r="N60" s="281"/>
      <c r="O60" s="281"/>
      <c r="P60" s="280"/>
      <c r="Q60" s="265"/>
      <c r="R60" s="265"/>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row>
    <row r="61" spans="1:41" s="278" customFormat="1" ht="24" customHeight="1">
      <c r="A61" s="490" t="s">
        <v>707</v>
      </c>
      <c r="B61" s="503"/>
      <c r="C61" s="503"/>
      <c r="D61" s="503"/>
      <c r="E61" s="503"/>
      <c r="F61" s="503"/>
      <c r="G61" s="503"/>
      <c r="H61" s="503"/>
      <c r="I61" s="490" t="s">
        <v>707</v>
      </c>
      <c r="J61" s="503"/>
      <c r="K61" s="503"/>
      <c r="L61" s="503"/>
      <c r="M61" s="503"/>
      <c r="N61" s="503"/>
      <c r="O61" s="503"/>
      <c r="P61" s="503"/>
      <c r="Q61" s="265"/>
      <c r="R61" s="265"/>
    </row>
    <row r="62" spans="1:41" s="278" customFormat="1" ht="13.5" customHeight="1">
      <c r="A62" s="289"/>
      <c r="B62" s="290"/>
      <c r="I62" s="289"/>
      <c r="P62" s="291"/>
      <c r="Q62" s="265"/>
      <c r="R62" s="265"/>
    </row>
    <row r="63" spans="1:41" s="278" customFormat="1" ht="13.5" customHeight="1">
      <c r="H63" s="284" t="s">
        <v>839</v>
      </c>
      <c r="P63" s="284" t="s">
        <v>839</v>
      </c>
      <c r="Q63" s="265"/>
      <c r="R63" s="265"/>
    </row>
    <row r="64" spans="1:41" ht="18">
      <c r="A64" s="226" t="s">
        <v>708</v>
      </c>
      <c r="B64" s="227"/>
      <c r="C64" s="227"/>
      <c r="D64" s="227"/>
      <c r="E64" s="227"/>
      <c r="F64" s="227"/>
      <c r="G64" s="227"/>
      <c r="H64" s="227"/>
      <c r="I64" s="226" t="s">
        <v>709</v>
      </c>
      <c r="J64" s="228"/>
      <c r="K64" s="228"/>
      <c r="L64" s="227"/>
      <c r="M64" s="228"/>
      <c r="N64" s="228"/>
      <c r="O64" s="228"/>
      <c r="P64" s="228"/>
      <c r="Q64" s="265"/>
      <c r="R64" s="265"/>
    </row>
    <row r="65" spans="1:41" ht="13">
      <c r="A65" s="232"/>
      <c r="B65" s="228"/>
      <c r="C65" s="228"/>
      <c r="D65" s="228"/>
      <c r="E65" s="228"/>
      <c r="F65" s="228"/>
      <c r="G65" s="228"/>
      <c r="H65" s="228"/>
      <c r="I65" s="232"/>
      <c r="J65" s="228"/>
      <c r="K65" s="228"/>
      <c r="L65" s="228"/>
      <c r="M65" s="228"/>
      <c r="N65" s="228"/>
      <c r="O65" s="228"/>
      <c r="P65" s="228"/>
      <c r="Q65" s="265"/>
      <c r="R65" s="265"/>
    </row>
    <row r="66" spans="1:41" ht="15.5">
      <c r="A66" s="234" t="s">
        <v>687</v>
      </c>
      <c r="B66" s="228"/>
      <c r="C66" s="228"/>
      <c r="D66" s="228"/>
      <c r="E66" s="228"/>
      <c r="F66" s="228"/>
      <c r="G66" s="228"/>
      <c r="H66" s="228"/>
      <c r="I66" s="234" t="s">
        <v>688</v>
      </c>
      <c r="J66" s="228"/>
      <c r="K66" s="228"/>
      <c r="L66" s="228"/>
      <c r="M66" s="228"/>
      <c r="N66" s="228"/>
      <c r="O66" s="228"/>
      <c r="P66" s="228"/>
      <c r="Q66" s="265"/>
      <c r="R66" s="265"/>
    </row>
    <row r="67" spans="1:41" ht="15.5">
      <c r="A67" s="234" t="s">
        <v>766</v>
      </c>
      <c r="B67" s="228"/>
      <c r="C67" s="228"/>
      <c r="D67" s="228"/>
      <c r="E67" s="228"/>
      <c r="F67" s="228"/>
      <c r="G67" s="228"/>
      <c r="H67" s="228"/>
      <c r="I67" s="234" t="s">
        <v>766</v>
      </c>
      <c r="J67" s="228"/>
      <c r="K67" s="228"/>
      <c r="L67" s="228"/>
      <c r="M67" s="228"/>
      <c r="N67" s="228"/>
      <c r="O67" s="228"/>
      <c r="P67" s="228"/>
      <c r="Q67" s="265"/>
      <c r="R67" s="265"/>
    </row>
    <row r="68" spans="1:41">
      <c r="A68" s="237"/>
      <c r="B68" s="238"/>
      <c r="C68" s="238"/>
      <c r="D68" s="238"/>
      <c r="E68" s="238"/>
      <c r="F68" s="238"/>
      <c r="G68" s="238"/>
      <c r="H68" s="238"/>
      <c r="I68" s="239"/>
      <c r="L68" s="240"/>
      <c r="P68" s="237"/>
      <c r="Q68" s="265"/>
      <c r="R68" s="265"/>
    </row>
    <row r="69" spans="1:41" s="247" customFormat="1">
      <c r="A69" s="242"/>
      <c r="B69" s="243" t="s">
        <v>689</v>
      </c>
      <c r="C69" s="243"/>
      <c r="D69" s="243"/>
      <c r="E69" s="243"/>
      <c r="F69" s="243"/>
      <c r="G69" s="243"/>
      <c r="H69" s="244"/>
      <c r="I69" s="242"/>
      <c r="J69" s="243" t="s">
        <v>689</v>
      </c>
      <c r="K69" s="243"/>
      <c r="L69" s="243"/>
      <c r="M69" s="243"/>
      <c r="N69" s="243"/>
      <c r="O69" s="243"/>
      <c r="P69" s="244"/>
      <c r="Q69" s="265"/>
      <c r="R69" s="265"/>
    </row>
    <row r="70" spans="1:41" s="247" customFormat="1">
      <c r="A70" s="242"/>
      <c r="B70" s="243" t="s">
        <v>690</v>
      </c>
      <c r="C70" s="243"/>
      <c r="D70" s="485" t="s">
        <v>691</v>
      </c>
      <c r="E70" s="483"/>
      <c r="F70" s="483"/>
      <c r="G70" s="483"/>
      <c r="H70" s="250" t="s">
        <v>581</v>
      </c>
      <c r="I70" s="242"/>
      <c r="J70" s="243" t="s">
        <v>690</v>
      </c>
      <c r="K70" s="243"/>
      <c r="L70" s="485" t="s">
        <v>691</v>
      </c>
      <c r="M70" s="483"/>
      <c r="N70" s="483"/>
      <c r="O70" s="483"/>
      <c r="P70" s="250" t="s">
        <v>581</v>
      </c>
      <c r="Q70" s="265"/>
      <c r="R70" s="265"/>
    </row>
    <row r="71" spans="1:41" s="247" customFormat="1" ht="40.5" customHeight="1">
      <c r="A71" s="242"/>
      <c r="B71" s="251" t="s">
        <v>692</v>
      </c>
      <c r="C71" s="252" t="s">
        <v>693</v>
      </c>
      <c r="D71" s="253" t="s">
        <v>694</v>
      </c>
      <c r="E71" s="254" t="s">
        <v>8</v>
      </c>
      <c r="F71" s="251" t="s">
        <v>695</v>
      </c>
      <c r="G71" s="255" t="s">
        <v>704</v>
      </c>
      <c r="H71" s="256" t="s">
        <v>697</v>
      </c>
      <c r="I71" s="242"/>
      <c r="J71" s="251" t="s">
        <v>692</v>
      </c>
      <c r="K71" s="252" t="s">
        <v>693</v>
      </c>
      <c r="L71" s="253" t="s">
        <v>694</v>
      </c>
      <c r="M71" s="254" t="s">
        <v>8</v>
      </c>
      <c r="N71" s="251" t="s">
        <v>695</v>
      </c>
      <c r="O71" s="255" t="s">
        <v>704</v>
      </c>
      <c r="P71" s="256" t="s">
        <v>697</v>
      </c>
      <c r="Q71" s="265"/>
      <c r="R71" s="265"/>
      <c r="T71" s="285"/>
    </row>
    <row r="72" spans="1:41" ht="15.75" customHeight="1">
      <c r="A72" s="286" t="s">
        <v>666</v>
      </c>
      <c r="B72" s="260">
        <f>('Pivot Table for Data Exchange'!$D$6)*100</f>
        <v>87.511965718617688</v>
      </c>
      <c r="C72" s="272">
        <f>('Pivot Table for Data Exchange'!$D$9)*100</f>
        <v>8.5232322323801443E-2</v>
      </c>
      <c r="D72" s="261">
        <f>SUM(E72:G72)</f>
        <v>12.402801959058504</v>
      </c>
      <c r="E72" s="260">
        <f>('Pivot Table for Data Exchange'!$D$12)*100</f>
        <v>12.402801959058504</v>
      </c>
      <c r="F72" s="260">
        <f>('Pivot Table for Data Exchange'!$D$15)*100</f>
        <v>0</v>
      </c>
      <c r="G72" s="264">
        <f>('Pivot Table for Data Exchange'!$D$18)*100</f>
        <v>0</v>
      </c>
      <c r="H72" s="260">
        <f>('Pivot Table for Data Exchange'!$D$21)*100</f>
        <v>0</v>
      </c>
      <c r="I72" s="263" t="s">
        <v>666</v>
      </c>
      <c r="J72" s="260">
        <f>('Pivot Table for Data Exchange'!$D$24)*100</f>
        <v>69.230128832185159</v>
      </c>
      <c r="K72" s="260">
        <f>('Pivot Table for Data Exchange'!$D$27)*100</f>
        <v>0</v>
      </c>
      <c r="L72" s="261">
        <f>SUM(M72:O72)</f>
        <v>30.769871167814848</v>
      </c>
      <c r="M72" s="260">
        <f>('Pivot Table for Data Exchange'!$D$30)*100</f>
        <v>30.769871167814848</v>
      </c>
      <c r="N72" s="260">
        <f>('Pivot Table for Data Exchange'!$D$33)*100</f>
        <v>0</v>
      </c>
      <c r="O72" s="264">
        <f>('Pivot Table for Data Exchange'!$D$36)*100</f>
        <v>0</v>
      </c>
      <c r="P72" s="260">
        <f>('Pivot Table for Data Exchange'!$D$39)*100</f>
        <v>0</v>
      </c>
      <c r="Q72" s="265">
        <f t="shared" si="3"/>
        <v>100</v>
      </c>
      <c r="R72" s="265">
        <f t="shared" si="2"/>
        <v>100</v>
      </c>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row>
    <row r="73" spans="1:41" ht="15.75" customHeight="1">
      <c r="A73" s="231" t="s">
        <v>667</v>
      </c>
      <c r="B73" s="260">
        <f>('Pivot Table for Data Exchange'!$D$42)*100</f>
        <v>51.968561846672813</v>
      </c>
      <c r="C73" s="260">
        <f>('Pivot Table for Data Exchange'!$D$45)*100</f>
        <v>12.386985428229618</v>
      </c>
      <c r="D73" s="261">
        <f t="shared" ref="D73:D75" si="12">SUM(E73:G73)</f>
        <v>35.597383749436148</v>
      </c>
      <c r="E73" s="260">
        <f>('Pivot Table for Data Exchange'!$D$48)*100</f>
        <v>35.597383749436148</v>
      </c>
      <c r="F73" s="260">
        <f>('Pivot Table for Data Exchange'!$D$51)*100</f>
        <v>0</v>
      </c>
      <c r="G73" s="268">
        <f>('Pivot Table for Data Exchange'!$D$54)*100</f>
        <v>0</v>
      </c>
      <c r="H73" s="260">
        <f>('Pivot Table for Data Exchange'!$D$57)*100</f>
        <v>4.706897566141717E-2</v>
      </c>
      <c r="I73" s="266" t="s">
        <v>667</v>
      </c>
      <c r="J73" s="260">
        <f>('Pivot Table for Data Exchange'!$D$60)*100</f>
        <v>69.201930737147947</v>
      </c>
      <c r="K73" s="260">
        <f>('Pivot Table for Data Exchange'!$D$63)*100</f>
        <v>1.5581798584750925</v>
      </c>
      <c r="L73" s="261">
        <f t="shared" ref="L73:L75" si="13">SUM(M73:O73)</f>
        <v>29.162566193354888</v>
      </c>
      <c r="M73" s="260">
        <f>('Pivot Table for Data Exchange'!$D$66)*100</f>
        <v>29.162566193354888</v>
      </c>
      <c r="N73" s="260">
        <f>('Pivot Table for Data Exchange'!$D$69)*100</f>
        <v>0</v>
      </c>
      <c r="O73" s="268">
        <f>('Pivot Table for Data Exchange'!$D$72)*100</f>
        <v>0</v>
      </c>
      <c r="P73" s="260">
        <f>('Pivot Table for Data Exchange'!$D$75)*100</f>
        <v>7.7323211022072263E-2</v>
      </c>
      <c r="Q73" s="265">
        <f t="shared" si="3"/>
        <v>100</v>
      </c>
      <c r="R73" s="265">
        <f t="shared" si="2"/>
        <v>100</v>
      </c>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row>
    <row r="74" spans="1:41" ht="15.75" customHeight="1">
      <c r="A74" s="231" t="s">
        <v>668</v>
      </c>
      <c r="B74" s="260">
        <f>('Pivot Table for Data Exchange'!$D$78)*100</f>
        <v>0</v>
      </c>
      <c r="C74" s="260">
        <f>('Pivot Table for Data Exchange'!$D$81)*100</f>
        <v>0</v>
      </c>
      <c r="D74" s="261">
        <f t="shared" si="12"/>
        <v>0</v>
      </c>
      <c r="E74" s="260">
        <f>('Pivot Table for Data Exchange'!$D$84)*100</f>
        <v>0</v>
      </c>
      <c r="F74" s="260">
        <f>('Pivot Table for Data Exchange'!$D$87)*100</f>
        <v>0</v>
      </c>
      <c r="G74" s="268">
        <f>('Pivot Table for Data Exchange'!$D$90)*100</f>
        <v>0</v>
      </c>
      <c r="H74" s="260">
        <f>('Pivot Table for Data Exchange'!$D$93)*100</f>
        <v>0</v>
      </c>
      <c r="I74" s="266" t="s">
        <v>668</v>
      </c>
      <c r="J74" s="260">
        <f>('Pivot Table for Data Exchange'!$D$96)*100</f>
        <v>0</v>
      </c>
      <c r="K74" s="260">
        <f>('Pivot Table for Data Exchange'!$D$99)*100</f>
        <v>0</v>
      </c>
      <c r="L74" s="261">
        <f t="shared" si="13"/>
        <v>0</v>
      </c>
      <c r="M74" s="260">
        <f>('Pivot Table for Data Exchange'!$D$102)*100</f>
        <v>0</v>
      </c>
      <c r="N74" s="260">
        <f>('Pivot Table for Data Exchange'!$D$105)*100</f>
        <v>0</v>
      </c>
      <c r="O74" s="268">
        <f>('Pivot Table for Data Exchange'!$D$108)*100</f>
        <v>0</v>
      </c>
      <c r="P74" s="260">
        <f>('Pivot Table for Data Exchange'!$D$111)*100</f>
        <v>0</v>
      </c>
      <c r="Q74" s="265">
        <f t="shared" si="3"/>
        <v>0</v>
      </c>
      <c r="R74" s="265">
        <f t="shared" si="2"/>
        <v>0</v>
      </c>
      <c r="S74" s="266"/>
      <c r="T74" s="240"/>
      <c r="U74" s="266"/>
      <c r="V74" s="266"/>
      <c r="W74" s="266"/>
      <c r="X74" s="266"/>
      <c r="Y74" s="266"/>
      <c r="Z74" s="266"/>
      <c r="AA74" s="266"/>
      <c r="AB74" s="266"/>
      <c r="AC74" s="266"/>
      <c r="AD74" s="266"/>
      <c r="AE74" s="266"/>
      <c r="AF74" s="266"/>
      <c r="AG74" s="266"/>
      <c r="AH74" s="266"/>
      <c r="AI74" s="266"/>
      <c r="AJ74" s="266"/>
      <c r="AK74" s="266"/>
      <c r="AL74" s="266"/>
      <c r="AM74" s="266"/>
      <c r="AN74" s="266"/>
      <c r="AO74" s="266"/>
    </row>
    <row r="75" spans="1:41" ht="15.75" customHeight="1">
      <c r="A75" s="231" t="s">
        <v>669</v>
      </c>
      <c r="B75" s="260">
        <f>('Pivot Table for Data Exchange'!$D$114)*100</f>
        <v>0</v>
      </c>
      <c r="C75" s="260">
        <f>('Pivot Table for Data Exchange'!$D$117)*100</f>
        <v>0</v>
      </c>
      <c r="D75" s="261">
        <f t="shared" si="12"/>
        <v>0</v>
      </c>
      <c r="E75" s="260">
        <f>('Pivot Table for Data Exchange'!$D$120)*100</f>
        <v>0</v>
      </c>
      <c r="F75" s="260">
        <f>('Pivot Table for Data Exchange'!$D$123)*100</f>
        <v>0</v>
      </c>
      <c r="G75" s="268">
        <f>('Pivot Table for Data Exchange'!$D$126)*100</f>
        <v>0</v>
      </c>
      <c r="H75" s="260">
        <f>('Pivot Table for Data Exchange'!$D$129)*100</f>
        <v>0</v>
      </c>
      <c r="I75" s="266" t="s">
        <v>669</v>
      </c>
      <c r="J75" s="260">
        <f>('Pivot Table for Data Exchange'!$D$132)*100</f>
        <v>0</v>
      </c>
      <c r="K75" s="260">
        <f>('Pivot Table for Data Exchange'!$D$135)*100</f>
        <v>0</v>
      </c>
      <c r="L75" s="261">
        <f t="shared" si="13"/>
        <v>0</v>
      </c>
      <c r="M75" s="260">
        <f>('Pivot Table for Data Exchange'!$D$138)*100</f>
        <v>0</v>
      </c>
      <c r="N75" s="260">
        <f>('Pivot Table for Data Exchange'!$D$141)*100</f>
        <v>0</v>
      </c>
      <c r="O75" s="268">
        <f>('Pivot Table for Data Exchange'!$D$144)*100</f>
        <v>0</v>
      </c>
      <c r="P75" s="260">
        <f>('Pivot Table for Data Exchange'!$D$147)*100</f>
        <v>0</v>
      </c>
      <c r="Q75" s="265">
        <f t="shared" ref="Q75:Q138" si="14">SUM(B75,C75,D75,H75)</f>
        <v>0</v>
      </c>
      <c r="R75" s="265">
        <f t="shared" ref="R75:R138" si="15">SUM(J75,K75,L75,P75)</f>
        <v>0</v>
      </c>
      <c r="S75" s="266"/>
      <c r="U75" s="266"/>
      <c r="V75" s="266"/>
      <c r="W75" s="266"/>
      <c r="X75" s="266"/>
      <c r="Y75" s="266"/>
      <c r="Z75" s="266"/>
      <c r="AA75" s="266"/>
      <c r="AB75" s="266"/>
      <c r="AC75" s="266"/>
      <c r="AD75" s="266"/>
      <c r="AE75" s="266"/>
      <c r="AF75" s="266"/>
      <c r="AG75" s="266"/>
      <c r="AH75" s="266"/>
      <c r="AI75" s="266"/>
      <c r="AJ75" s="266"/>
      <c r="AK75" s="266"/>
      <c r="AL75" s="266"/>
      <c r="AM75" s="266"/>
      <c r="AN75" s="266"/>
      <c r="AO75" s="266"/>
    </row>
    <row r="76" spans="1:41" ht="9" customHeight="1">
      <c r="B76" s="260"/>
      <c r="C76" s="260"/>
      <c r="D76" s="261"/>
      <c r="E76" s="260"/>
      <c r="F76" s="260"/>
      <c r="G76" s="268"/>
      <c r="H76" s="260"/>
      <c r="I76" s="266"/>
      <c r="J76" s="260"/>
      <c r="K76" s="260"/>
      <c r="L76" s="261"/>
      <c r="M76" s="260"/>
      <c r="N76" s="260"/>
      <c r="O76" s="268"/>
      <c r="P76" s="260"/>
      <c r="Q76" s="265">
        <f t="shared" si="14"/>
        <v>0</v>
      </c>
      <c r="R76" s="265">
        <f t="shared" si="15"/>
        <v>0</v>
      </c>
      <c r="S76" s="266"/>
      <c r="U76" s="266"/>
      <c r="V76" s="266"/>
      <c r="W76" s="266"/>
      <c r="X76" s="266"/>
      <c r="Y76" s="266"/>
      <c r="Z76" s="266"/>
      <c r="AA76" s="266"/>
      <c r="AB76" s="266"/>
      <c r="AC76" s="266"/>
      <c r="AD76" s="266"/>
      <c r="AE76" s="266"/>
      <c r="AF76" s="266"/>
      <c r="AG76" s="266"/>
      <c r="AH76" s="266"/>
      <c r="AI76" s="266"/>
      <c r="AJ76" s="266"/>
      <c r="AK76" s="266"/>
      <c r="AL76" s="266"/>
      <c r="AM76" s="266"/>
      <c r="AN76" s="266"/>
      <c r="AO76" s="266"/>
    </row>
    <row r="77" spans="1:41" ht="15.75" customHeight="1">
      <c r="A77" s="231" t="s">
        <v>670</v>
      </c>
      <c r="B77" s="260">
        <f>('Pivot Table for Data Exchange'!$D$150)*100</f>
        <v>93.803275398833875</v>
      </c>
      <c r="C77" s="260">
        <f>('Pivot Table for Data Exchange'!$D$153)*100</f>
        <v>3.4782996465958371</v>
      </c>
      <c r="D77" s="261">
        <f t="shared" ref="D77:D80" si="16">SUM(E77:G77)</f>
        <v>2.7184249545702852</v>
      </c>
      <c r="E77" s="260">
        <f>('Pivot Table for Data Exchange'!$D$156)*100</f>
        <v>2.7184249545702852</v>
      </c>
      <c r="F77" s="260">
        <f>('Pivot Table for Data Exchange'!$D$159)*100</f>
        <v>0</v>
      </c>
      <c r="G77" s="268">
        <f>('Pivot Table for Data Exchange'!$D$162)*100</f>
        <v>0</v>
      </c>
      <c r="H77" s="260">
        <f>('Pivot Table for Data Exchange'!$D$165)*100</f>
        <v>0</v>
      </c>
      <c r="I77" s="266" t="s">
        <v>670</v>
      </c>
      <c r="J77" s="260">
        <f>('Pivot Table for Data Exchange'!$D$168)*100</f>
        <v>73.062922985630692</v>
      </c>
      <c r="K77" s="260">
        <f>('Pivot Table for Data Exchange'!$D$171)*100</f>
        <v>0.77036903501062859</v>
      </c>
      <c r="L77" s="261">
        <f t="shared" ref="L77:L80" si="17">SUM(M77:O77)</f>
        <v>26.166707979358677</v>
      </c>
      <c r="M77" s="260">
        <f>('Pivot Table for Data Exchange'!$D$174)*100</f>
        <v>26.166707979358677</v>
      </c>
      <c r="N77" s="260">
        <f>('Pivot Table for Data Exchange'!$D$177)*100</f>
        <v>0</v>
      </c>
      <c r="O77" s="268">
        <f>('Pivot Table for Data Exchange'!$D$180)*100</f>
        <v>0</v>
      </c>
      <c r="P77" s="260">
        <f>('Pivot Table for Data Exchange'!$D$183)*100</f>
        <v>0</v>
      </c>
      <c r="Q77" s="265">
        <f t="shared" si="14"/>
        <v>100</v>
      </c>
      <c r="R77" s="265">
        <f t="shared" si="15"/>
        <v>100</v>
      </c>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row>
    <row r="78" spans="1:41" ht="15.75" customHeight="1">
      <c r="A78" s="231" t="s">
        <v>671</v>
      </c>
      <c r="B78" s="260">
        <f>('Pivot Table for Data Exchange'!$D$186)*100</f>
        <v>0</v>
      </c>
      <c r="C78" s="260">
        <f>('Pivot Table for Data Exchange'!$D$189)*100</f>
        <v>0</v>
      </c>
      <c r="D78" s="261">
        <f t="shared" si="16"/>
        <v>0</v>
      </c>
      <c r="E78" s="260">
        <f>('Pivot Table for Data Exchange'!$D$192)*100</f>
        <v>0</v>
      </c>
      <c r="F78" s="260">
        <f>('Pivot Table for Data Exchange'!$D$195)*100</f>
        <v>0</v>
      </c>
      <c r="G78" s="268">
        <f>('Pivot Table for Data Exchange'!$D$198)*100</f>
        <v>0</v>
      </c>
      <c r="H78" s="260">
        <f>('Pivot Table for Data Exchange'!$D$201)*100</f>
        <v>0</v>
      </c>
      <c r="I78" s="266" t="s">
        <v>671</v>
      </c>
      <c r="J78" s="260">
        <f>('Pivot Table for Data Exchange'!$D$204)*100</f>
        <v>0</v>
      </c>
      <c r="K78" s="260">
        <f>('Pivot Table for Data Exchange'!$D$207)*100</f>
        <v>0</v>
      </c>
      <c r="L78" s="261">
        <f t="shared" si="17"/>
        <v>0</v>
      </c>
      <c r="M78" s="260">
        <f>('Pivot Table for Data Exchange'!$D$210)*100</f>
        <v>0</v>
      </c>
      <c r="N78" s="260">
        <f>('Pivot Table for Data Exchange'!$D$213)*100</f>
        <v>0</v>
      </c>
      <c r="O78" s="268">
        <f>('Pivot Table for Data Exchange'!$D$216)*100</f>
        <v>0</v>
      </c>
      <c r="P78" s="260">
        <f>('Pivot Table for Data Exchange'!$D$219)*100</f>
        <v>0</v>
      </c>
      <c r="Q78" s="265">
        <f t="shared" si="14"/>
        <v>0</v>
      </c>
      <c r="R78" s="265">
        <f t="shared" si="15"/>
        <v>0</v>
      </c>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row>
    <row r="79" spans="1:41" ht="15.75" customHeight="1">
      <c r="A79" s="231" t="s">
        <v>672</v>
      </c>
      <c r="B79" s="260">
        <f>('Pivot Table for Data Exchange'!$D$222)*100</f>
        <v>87.177835651346641</v>
      </c>
      <c r="C79" s="260">
        <f>('Pivot Table for Data Exchange'!$D$225)*100</f>
        <v>0</v>
      </c>
      <c r="D79" s="261">
        <f t="shared" si="16"/>
        <v>12.822164348653351</v>
      </c>
      <c r="E79" s="260">
        <f>('Pivot Table for Data Exchange'!$D$228)*100</f>
        <v>12.822164348653351</v>
      </c>
      <c r="F79" s="260">
        <f>('Pivot Table for Data Exchange'!$D$231)*100</f>
        <v>0</v>
      </c>
      <c r="G79" s="268">
        <f>('Pivot Table for Data Exchange'!$D$234)*100</f>
        <v>0</v>
      </c>
      <c r="H79" s="260">
        <f>('Pivot Table for Data Exchange'!$D$237)*100</f>
        <v>0</v>
      </c>
      <c r="I79" s="266" t="s">
        <v>672</v>
      </c>
      <c r="J79" s="260">
        <f>('Pivot Table for Data Exchange'!$D$240)*100</f>
        <v>82.276532530538404</v>
      </c>
      <c r="K79" s="260">
        <f>('Pivot Table for Data Exchange'!$D$243)*100</f>
        <v>0</v>
      </c>
      <c r="L79" s="261">
        <f t="shared" si="17"/>
        <v>17.723467469461614</v>
      </c>
      <c r="M79" s="260">
        <f>('Pivot Table for Data Exchange'!$D$246)*100</f>
        <v>17.723467469461614</v>
      </c>
      <c r="N79" s="260">
        <f>('Pivot Table for Data Exchange'!$D$249)*100</f>
        <v>0</v>
      </c>
      <c r="O79" s="268">
        <f>('Pivot Table for Data Exchange'!$D$252)*100</f>
        <v>0</v>
      </c>
      <c r="P79" s="260">
        <f>('Pivot Table for Data Exchange'!$D$255)*100</f>
        <v>0</v>
      </c>
      <c r="Q79" s="265">
        <f t="shared" si="14"/>
        <v>99.999999999999986</v>
      </c>
      <c r="R79" s="265">
        <f t="shared" si="15"/>
        <v>100.00000000000001</v>
      </c>
      <c r="S79" s="266"/>
      <c r="T79" s="240"/>
      <c r="U79" s="266"/>
      <c r="V79" s="266"/>
      <c r="W79" s="266"/>
      <c r="X79" s="266"/>
      <c r="Y79" s="266"/>
      <c r="Z79" s="266"/>
      <c r="AA79" s="266"/>
      <c r="AB79" s="266"/>
      <c r="AC79" s="266"/>
      <c r="AD79" s="266"/>
      <c r="AE79" s="266"/>
      <c r="AF79" s="266"/>
      <c r="AG79" s="266"/>
      <c r="AH79" s="266"/>
      <c r="AI79" s="266"/>
      <c r="AJ79" s="266"/>
      <c r="AK79" s="266"/>
      <c r="AL79" s="266"/>
      <c r="AM79" s="266"/>
      <c r="AN79" s="266"/>
      <c r="AO79" s="266"/>
    </row>
    <row r="80" spans="1:41" ht="15.75" customHeight="1">
      <c r="A80" s="231" t="s">
        <v>673</v>
      </c>
      <c r="B80" s="260">
        <f>('Pivot Table for Data Exchange'!$D$258)*100</f>
        <v>87.5048761078517</v>
      </c>
      <c r="C80" s="260">
        <f>('Pivot Table for Data Exchange'!$D$261)*100</f>
        <v>1.4400121707651978</v>
      </c>
      <c r="D80" s="261">
        <f t="shared" si="16"/>
        <v>11.055111721383099</v>
      </c>
      <c r="E80" s="260">
        <f>('Pivot Table for Data Exchange'!$D$264)*100</f>
        <v>11.055111721383099</v>
      </c>
      <c r="F80" s="260">
        <f>('Pivot Table for Data Exchange'!$D$267)*100</f>
        <v>0</v>
      </c>
      <c r="G80" s="268">
        <f>('Pivot Table for Data Exchange'!$D$270)*100</f>
        <v>0</v>
      </c>
      <c r="H80" s="260">
        <f>('Pivot Table for Data Exchange'!$D$273)*100</f>
        <v>0</v>
      </c>
      <c r="I80" s="266" t="s">
        <v>673</v>
      </c>
      <c r="J80" s="260">
        <f>('Pivot Table for Data Exchange'!$D$276)*100</f>
        <v>71.748786636711316</v>
      </c>
      <c r="K80" s="260">
        <f>('Pivot Table for Data Exchange'!$D$279)*100</f>
        <v>6.2083040353976227</v>
      </c>
      <c r="L80" s="261">
        <f t="shared" si="17"/>
        <v>22.042909327891063</v>
      </c>
      <c r="M80" s="260">
        <f>('Pivot Table for Data Exchange'!$D$282)*100</f>
        <v>22.042909327891063</v>
      </c>
      <c r="N80" s="260">
        <f>('Pivot Table for Data Exchange'!$D$285)*100</f>
        <v>0</v>
      </c>
      <c r="O80" s="268">
        <f>('Pivot Table for Data Exchange'!$D$288)*100</f>
        <v>0</v>
      </c>
      <c r="P80" s="260">
        <f>('Pivot Table for Data Exchange'!$D$291)*100</f>
        <v>0</v>
      </c>
      <c r="Q80" s="265">
        <f t="shared" si="14"/>
        <v>100</v>
      </c>
      <c r="R80" s="265">
        <f t="shared" si="15"/>
        <v>100</v>
      </c>
      <c r="S80" s="266"/>
      <c r="U80" s="266"/>
      <c r="V80" s="266"/>
      <c r="W80" s="266"/>
      <c r="X80" s="266"/>
      <c r="Y80" s="266"/>
      <c r="Z80" s="266"/>
      <c r="AA80" s="266"/>
      <c r="AB80" s="266"/>
      <c r="AC80" s="266"/>
      <c r="AD80" s="266"/>
      <c r="AE80" s="266"/>
      <c r="AF80" s="266"/>
      <c r="AG80" s="266"/>
      <c r="AH80" s="266"/>
      <c r="AI80" s="266"/>
      <c r="AJ80" s="266"/>
      <c r="AK80" s="266"/>
      <c r="AL80" s="266"/>
      <c r="AM80" s="266"/>
      <c r="AN80" s="266"/>
      <c r="AO80" s="266"/>
    </row>
    <row r="81" spans="1:41" ht="8.25" customHeight="1">
      <c r="B81" s="260"/>
      <c r="C81" s="260"/>
      <c r="D81" s="261"/>
      <c r="E81" s="260"/>
      <c r="F81" s="260"/>
      <c r="G81" s="268"/>
      <c r="H81" s="260"/>
      <c r="I81" s="266"/>
      <c r="J81" s="260"/>
      <c r="K81" s="260"/>
      <c r="L81" s="261"/>
      <c r="M81" s="260"/>
      <c r="N81" s="260"/>
      <c r="O81" s="268"/>
      <c r="P81" s="260"/>
      <c r="Q81" s="265">
        <f t="shared" si="14"/>
        <v>0</v>
      </c>
      <c r="R81" s="265">
        <f t="shared" si="15"/>
        <v>0</v>
      </c>
      <c r="S81" s="266"/>
      <c r="U81" s="266"/>
      <c r="V81" s="266"/>
      <c r="W81" s="266"/>
      <c r="X81" s="266"/>
      <c r="Y81" s="266"/>
      <c r="Z81" s="266"/>
      <c r="AA81" s="266"/>
      <c r="AB81" s="266"/>
      <c r="AC81" s="266"/>
      <c r="AD81" s="266"/>
      <c r="AE81" s="266"/>
      <c r="AF81" s="266"/>
      <c r="AG81" s="266"/>
      <c r="AH81" s="266"/>
      <c r="AI81" s="266"/>
      <c r="AJ81" s="266"/>
      <c r="AK81" s="266"/>
      <c r="AL81" s="266"/>
      <c r="AM81" s="266"/>
      <c r="AN81" s="266"/>
      <c r="AO81" s="266"/>
    </row>
    <row r="82" spans="1:41" ht="15.75" customHeight="1">
      <c r="A82" s="231" t="s">
        <v>674</v>
      </c>
      <c r="B82" s="260">
        <f>('Pivot Table for Data Exchange'!$D$294)*100</f>
        <v>67.451055586043651</v>
      </c>
      <c r="C82" s="260">
        <f>('Pivot Table for Data Exchange'!$D$297)*100</f>
        <v>1.6483407496545293</v>
      </c>
      <c r="D82" s="261">
        <f t="shared" ref="D82:D84" si="18">SUM(E82:G82)</f>
        <v>30.900603664301819</v>
      </c>
      <c r="E82" s="260">
        <f>('Pivot Table for Data Exchange'!$D$300)*100</f>
        <v>30.900603664301819</v>
      </c>
      <c r="F82" s="260">
        <f>('Pivot Table for Data Exchange'!$D$303)*100</f>
        <v>0</v>
      </c>
      <c r="G82" s="268">
        <f>('Pivot Table for Data Exchange'!$D$306)*100</f>
        <v>0</v>
      </c>
      <c r="H82" s="260">
        <f>('Pivot Table for Data Exchange'!$D$309)*100</f>
        <v>0</v>
      </c>
      <c r="I82" s="266" t="s">
        <v>674</v>
      </c>
      <c r="J82" s="260">
        <f>('Pivot Table for Data Exchange'!$D$312)*100</f>
        <v>33.298122465669408</v>
      </c>
      <c r="K82" s="260">
        <f>('Pivot Table for Data Exchange'!$D$315)*100</f>
        <v>18.407332947149623</v>
      </c>
      <c r="L82" s="261">
        <f t="shared" ref="L82:L84" si="19">SUM(M82:O82)</f>
        <v>48.294544587180972</v>
      </c>
      <c r="M82" s="260">
        <f>('Pivot Table for Data Exchange'!$D$318)*100</f>
        <v>48.294544587180972</v>
      </c>
      <c r="N82" s="260">
        <f>('Pivot Table for Data Exchange'!$D$321)*100</f>
        <v>0</v>
      </c>
      <c r="O82" s="268">
        <f>('Pivot Table for Data Exchange'!$D$324)*100</f>
        <v>0</v>
      </c>
      <c r="P82" s="269">
        <f>('Pivot Table for Data Exchange'!$D$327)*100</f>
        <v>0</v>
      </c>
      <c r="Q82" s="265">
        <f t="shared" si="14"/>
        <v>100</v>
      </c>
      <c r="R82" s="265">
        <f t="shared" si="15"/>
        <v>100</v>
      </c>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row>
    <row r="83" spans="1:41" ht="15.75" customHeight="1">
      <c r="A83" s="231" t="s">
        <v>675</v>
      </c>
      <c r="B83" s="260">
        <f>('Pivot Table for Data Exchange'!$D$330)*100</f>
        <v>77.829128230191216</v>
      </c>
      <c r="C83" s="260">
        <f>('Pivot Table for Data Exchange'!$D$333)*100</f>
        <v>0.70743478526482984</v>
      </c>
      <c r="D83" s="261">
        <f t="shared" si="18"/>
        <v>21.463436984543954</v>
      </c>
      <c r="E83" s="260">
        <f>('Pivot Table for Data Exchange'!$D$336)*100</f>
        <v>21.434571446026023</v>
      </c>
      <c r="F83" s="272">
        <f>('Pivot Table for Data Exchange'!$D$339)*100</f>
        <v>2.8865538517930233E-2</v>
      </c>
      <c r="G83" s="268">
        <f>('Pivot Table for Data Exchange'!$D$342)*100</f>
        <v>0</v>
      </c>
      <c r="H83" s="260">
        <f>('Pivot Table for Data Exchange'!$D$345)*100</f>
        <v>0</v>
      </c>
      <c r="I83" s="266" t="s">
        <v>675</v>
      </c>
      <c r="J83" s="260">
        <f>('Pivot Table for Data Exchange'!$D$348)*100</f>
        <v>37.340528296858864</v>
      </c>
      <c r="K83" s="260">
        <f>('Pivot Table for Data Exchange'!$D$351)*100</f>
        <v>1.5811154414132329</v>
      </c>
      <c r="L83" s="261">
        <f t="shared" si="19"/>
        <v>61.078356261727897</v>
      </c>
      <c r="M83" s="260">
        <f>('Pivot Table for Data Exchange'!$D$354)*100</f>
        <v>61.071694258463516</v>
      </c>
      <c r="N83" s="272">
        <f>('Pivot Table for Data Exchange'!$D$357)*100</f>
        <v>6.6620032643815988E-3</v>
      </c>
      <c r="O83" s="268">
        <f>('Pivot Table for Data Exchange'!$D$360)*100</f>
        <v>0</v>
      </c>
      <c r="P83" s="260">
        <f>('Pivot Table for Data Exchange'!$D$363)*100</f>
        <v>0</v>
      </c>
      <c r="Q83" s="265">
        <f t="shared" si="14"/>
        <v>100</v>
      </c>
      <c r="R83" s="265">
        <f t="shared" si="15"/>
        <v>100</v>
      </c>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row>
    <row r="84" spans="1:41" ht="15.75" customHeight="1">
      <c r="A84" s="231" t="s">
        <v>676</v>
      </c>
      <c r="B84" s="260">
        <f>('Pivot Table for Data Exchange'!$D$366)*100</f>
        <v>0</v>
      </c>
      <c r="C84" s="260">
        <f>('Pivot Table for Data Exchange'!$D$369)*100</f>
        <v>0</v>
      </c>
      <c r="D84" s="261">
        <f t="shared" si="18"/>
        <v>0</v>
      </c>
      <c r="E84" s="260">
        <f>('Pivot Table for Data Exchange'!$D$372)*100</f>
        <v>0</v>
      </c>
      <c r="F84" s="260">
        <f>('Pivot Table for Data Exchange'!$D$375)*100</f>
        <v>0</v>
      </c>
      <c r="G84" s="268">
        <f>('Pivot Table for Data Exchange'!$D$378)*100</f>
        <v>0</v>
      </c>
      <c r="H84" s="260">
        <f>('Pivot Table for Data Exchange'!$D$381)*100</f>
        <v>0</v>
      </c>
      <c r="I84" s="266" t="s">
        <v>676</v>
      </c>
      <c r="J84" s="260">
        <f>('Pivot Table for Data Exchange'!$D$384)*100</f>
        <v>0</v>
      </c>
      <c r="K84" s="260">
        <f>('Pivot Table for Data Exchange'!$D$387)*100</f>
        <v>0</v>
      </c>
      <c r="L84" s="261">
        <f t="shared" si="19"/>
        <v>0</v>
      </c>
      <c r="M84" s="260">
        <f>('Pivot Table for Data Exchange'!$D$390)*100</f>
        <v>0</v>
      </c>
      <c r="N84" s="260">
        <f>('Pivot Table for Data Exchange'!$D$393)*100</f>
        <v>0</v>
      </c>
      <c r="O84" s="268">
        <f>('Pivot Table for Data Exchange'!$D$396)*100</f>
        <v>0</v>
      </c>
      <c r="P84" s="260">
        <f>('Pivot Table for Data Exchange'!$D$399)*100</f>
        <v>0</v>
      </c>
      <c r="Q84" s="265">
        <f t="shared" si="14"/>
        <v>0</v>
      </c>
      <c r="R84" s="265">
        <f t="shared" si="15"/>
        <v>0</v>
      </c>
      <c r="S84" s="266"/>
      <c r="T84" s="240"/>
      <c r="U84" s="266"/>
      <c r="V84" s="266"/>
      <c r="W84" s="266"/>
      <c r="X84" s="266"/>
      <c r="Y84" s="266"/>
      <c r="Z84" s="266"/>
      <c r="AA84" s="266"/>
      <c r="AB84" s="266"/>
      <c r="AC84" s="266"/>
      <c r="AD84" s="266"/>
      <c r="AE84" s="266"/>
      <c r="AF84" s="266"/>
      <c r="AG84" s="266"/>
      <c r="AH84" s="266"/>
      <c r="AI84" s="266"/>
      <c r="AJ84" s="266"/>
      <c r="AK84" s="266"/>
      <c r="AL84" s="266"/>
      <c r="AM84" s="266"/>
      <c r="AN84" s="266"/>
      <c r="AO84" s="266"/>
    </row>
    <row r="85" spans="1:41" ht="15.75" customHeight="1">
      <c r="A85" s="231" t="s">
        <v>677</v>
      </c>
      <c r="B85" s="260">
        <f>('Pivot Table for Data Exchange'!$D$402)*100</f>
        <v>0</v>
      </c>
      <c r="C85" s="260">
        <f>('Pivot Table for Data Exchange'!$D$405)*100</f>
        <v>0</v>
      </c>
      <c r="D85" s="261">
        <f>SUM(E85:G85)</f>
        <v>0</v>
      </c>
      <c r="E85" s="260">
        <f>('Pivot Table for Data Exchange'!$D$408)*100</f>
        <v>0</v>
      </c>
      <c r="F85" s="260">
        <f>('Pivot Table for Data Exchange'!$D$411)*100</f>
        <v>0</v>
      </c>
      <c r="G85" s="268">
        <f>('Pivot Table for Data Exchange'!$D$414)*100</f>
        <v>0</v>
      </c>
      <c r="H85" s="260">
        <f>('Pivot Table for Data Exchange'!$D$417)*100</f>
        <v>0</v>
      </c>
      <c r="I85" s="266" t="s">
        <v>677</v>
      </c>
      <c r="J85" s="260">
        <f>('Pivot Table for Data Exchange'!$D$420)*100</f>
        <v>0</v>
      </c>
      <c r="K85" s="260">
        <f>('Pivot Table for Data Exchange'!$D$423)*100</f>
        <v>0</v>
      </c>
      <c r="L85" s="261">
        <f>SUM(M85:O85)</f>
        <v>0</v>
      </c>
      <c r="M85" s="260">
        <f>('Pivot Table for Data Exchange'!$D$426)*100</f>
        <v>0</v>
      </c>
      <c r="N85" s="260">
        <f>('Pivot Table for Data Exchange'!$D$429)*100</f>
        <v>0</v>
      </c>
      <c r="O85" s="268">
        <f>('Pivot Table for Data Exchange'!$D$432)*100</f>
        <v>0</v>
      </c>
      <c r="P85" s="260">
        <f>('Pivot Table for Data Exchange'!$D$435)*100</f>
        <v>0</v>
      </c>
      <c r="Q85" s="265">
        <f t="shared" si="14"/>
        <v>0</v>
      </c>
      <c r="R85" s="265">
        <f t="shared" si="15"/>
        <v>0</v>
      </c>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row>
    <row r="86" spans="1:41" ht="8.25" customHeight="1">
      <c r="B86" s="260"/>
      <c r="C86" s="260"/>
      <c r="D86" s="261"/>
      <c r="E86" s="260"/>
      <c r="F86" s="260"/>
      <c r="G86" s="268"/>
      <c r="H86" s="260"/>
      <c r="I86" s="266"/>
      <c r="J86" s="260"/>
      <c r="K86" s="260"/>
      <c r="L86" s="261"/>
      <c r="M86" s="260"/>
      <c r="N86" s="260"/>
      <c r="O86" s="268"/>
      <c r="P86" s="260"/>
      <c r="Q86" s="265">
        <f t="shared" si="14"/>
        <v>0</v>
      </c>
      <c r="R86" s="265">
        <f t="shared" si="15"/>
        <v>0</v>
      </c>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row>
    <row r="87" spans="1:41" ht="15.75" customHeight="1">
      <c r="A87" s="231" t="s">
        <v>678</v>
      </c>
      <c r="B87" s="260">
        <f>('Pivot Table for Data Exchange'!$D$438)*100</f>
        <v>73.556642497032414</v>
      </c>
      <c r="C87" s="260">
        <f>('Pivot Table for Data Exchange'!$D$441)*100</f>
        <v>3.7149101900591868</v>
      </c>
      <c r="D87" s="261">
        <f>SUM(E87:G87)</f>
        <v>22.014682975593232</v>
      </c>
      <c r="E87" s="260">
        <f>('Pivot Table for Data Exchange'!$D$444)*100</f>
        <v>17.350660795672731</v>
      </c>
      <c r="F87" s="260">
        <f>('Pivot Table for Data Exchange'!$D$447)*100</f>
        <v>0.73332516582949758</v>
      </c>
      <c r="G87" s="268">
        <f>('Pivot Table for Data Exchange'!$D$450)*100</f>
        <v>3.9306970140910029</v>
      </c>
      <c r="H87" s="260">
        <f>('Pivot Table for Data Exchange'!$D$453)*100</f>
        <v>0.71376433731516298</v>
      </c>
      <c r="I87" s="266" t="s">
        <v>678</v>
      </c>
      <c r="J87" s="260">
        <f>('Pivot Table for Data Exchange'!$D$456)*100</f>
        <v>47.400773419012253</v>
      </c>
      <c r="K87" s="260">
        <f>('Pivot Table for Data Exchange'!$D$459)*100</f>
        <v>8.7875406429767011</v>
      </c>
      <c r="L87" s="261">
        <f>SUM(M87:O87)</f>
        <v>39.453027300536775</v>
      </c>
      <c r="M87" s="260">
        <f>('Pivot Table for Data Exchange'!$D$462)*100</f>
        <v>36.48344460049637</v>
      </c>
      <c r="N87" s="260">
        <f>('Pivot Table for Data Exchange'!$D$465)*100</f>
        <v>0.23087134694191663</v>
      </c>
      <c r="O87" s="268">
        <f>('Pivot Table for Data Exchange'!$D$468)*100</f>
        <v>2.7387113530984859</v>
      </c>
      <c r="P87" s="260">
        <f>('Pivot Table for Data Exchange'!$D$471)*100</f>
        <v>4.3586586374742682</v>
      </c>
      <c r="Q87" s="265">
        <f t="shared" si="14"/>
        <v>100</v>
      </c>
      <c r="R87" s="265">
        <f t="shared" si="15"/>
        <v>100</v>
      </c>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row>
    <row r="88" spans="1:41" ht="15.75" customHeight="1">
      <c r="A88" s="231" t="s">
        <v>679</v>
      </c>
      <c r="B88" s="260">
        <f>('Pivot Table for Data Exchange'!$D$474)*100</f>
        <v>0</v>
      </c>
      <c r="C88" s="260">
        <f>('Pivot Table for Data Exchange'!$D$477)*100</f>
        <v>0</v>
      </c>
      <c r="D88" s="261">
        <f>SUM(E88:G88)</f>
        <v>0</v>
      </c>
      <c r="E88" s="260">
        <f>('Pivot Table for Data Exchange'!$D$480)*100</f>
        <v>0</v>
      </c>
      <c r="F88" s="260">
        <f>('Pivot Table for Data Exchange'!$D$483)*100</f>
        <v>0</v>
      </c>
      <c r="G88" s="267">
        <f>('Pivot Table for Data Exchange'!$D$486)*100</f>
        <v>0</v>
      </c>
      <c r="H88" s="260">
        <f>('Pivot Table for Data Exchange'!$D$489)*100</f>
        <v>0</v>
      </c>
      <c r="I88" s="266" t="s">
        <v>679</v>
      </c>
      <c r="J88" s="260">
        <f>('Pivot Table for Data Exchange'!$D$492)*100</f>
        <v>0</v>
      </c>
      <c r="K88" s="260">
        <f>('Pivot Table for Data Exchange'!$D$495)*100</f>
        <v>0</v>
      </c>
      <c r="L88" s="261">
        <f>SUM(M88:O88)</f>
        <v>0</v>
      </c>
      <c r="M88" s="260">
        <f>('Pivot Table for Data Exchange'!$D$498)*100</f>
        <v>0</v>
      </c>
      <c r="N88" s="260">
        <f>('Pivot Table for Data Exchange'!$D$501)*100</f>
        <v>0</v>
      </c>
      <c r="O88" s="267">
        <f>('Pivot Table for Data Exchange'!$D$504)*100</f>
        <v>0</v>
      </c>
      <c r="P88" s="260">
        <f>('Pivot Table for Data Exchange'!$D$507)*100</f>
        <v>0</v>
      </c>
      <c r="Q88" s="265">
        <f t="shared" si="14"/>
        <v>0</v>
      </c>
      <c r="R88" s="265">
        <f t="shared" si="15"/>
        <v>0</v>
      </c>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row>
    <row r="89" spans="1:41" ht="15.75" customHeight="1">
      <c r="A89" s="231" t="s">
        <v>680</v>
      </c>
      <c r="B89" s="260">
        <f>('Pivot Table for Data Exchange'!$D$510)*100</f>
        <v>97.119724523373407</v>
      </c>
      <c r="C89" s="260">
        <f>('Pivot Table for Data Exchange'!$D$513)*100</f>
        <v>2.4833660068493701</v>
      </c>
      <c r="D89" s="261">
        <f t="shared" ref="D89" si="20">SUM(E89:G89)</f>
        <v>0.39690946977722114</v>
      </c>
      <c r="E89" s="260">
        <f>('Pivot Table for Data Exchange'!$D$516)*100</f>
        <v>0.38618218681026922</v>
      </c>
      <c r="F89" s="272">
        <f>('Pivot Table for Data Exchange'!$D$519)*100</f>
        <v>1.0727282966951922E-2</v>
      </c>
      <c r="G89" s="268">
        <f>('Pivot Table for Data Exchange'!$D$522)*100</f>
        <v>0</v>
      </c>
      <c r="H89" s="260">
        <f>('Pivot Table for Data Exchange'!$D$525)*100</f>
        <v>0</v>
      </c>
      <c r="I89" s="266" t="s">
        <v>680</v>
      </c>
      <c r="J89" s="260">
        <f>('Pivot Table for Data Exchange'!$D$528)*100</f>
        <v>79.827115188583079</v>
      </c>
      <c r="K89" s="260">
        <f>('Pivot Table for Data Exchange'!$D$531)*100</f>
        <v>7.7496432212028541</v>
      </c>
      <c r="L89" s="261">
        <f t="shared" ref="L89" si="21">SUM(M89:O89)</f>
        <v>12.423241590214069</v>
      </c>
      <c r="M89" s="260">
        <f>('Pivot Table for Data Exchange'!$D$534)*100</f>
        <v>12.374311926605506</v>
      </c>
      <c r="N89" s="272">
        <f>('Pivot Table for Data Exchange'!$D$537)*100</f>
        <v>4.8929663608562692E-2</v>
      </c>
      <c r="O89" s="268">
        <f>('Pivot Table for Data Exchange'!$D$540)*100</f>
        <v>0</v>
      </c>
      <c r="P89" s="260">
        <f>('Pivot Table for Data Exchange'!$D$543)*100</f>
        <v>0</v>
      </c>
      <c r="Q89" s="265">
        <f t="shared" si="14"/>
        <v>100</v>
      </c>
      <c r="R89" s="265">
        <f t="shared" si="15"/>
        <v>100</v>
      </c>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row>
    <row r="90" spans="1:41" ht="15.75" customHeight="1">
      <c r="A90" s="237" t="s">
        <v>681</v>
      </c>
      <c r="B90" s="273">
        <f>('Pivot Table for Data Exchange'!$D$546)*100</f>
        <v>0</v>
      </c>
      <c r="C90" s="273">
        <f>('Pivot Table for Data Exchange'!$D$549)*100</f>
        <v>0</v>
      </c>
      <c r="D90" s="274">
        <f>SUM(E90:G90)</f>
        <v>0</v>
      </c>
      <c r="E90" s="273">
        <f>('Pivot Table for Data Exchange'!$D$552)*100</f>
        <v>0</v>
      </c>
      <c r="F90" s="273">
        <f>('Pivot Table for Data Exchange'!$D$555)*100</f>
        <v>0</v>
      </c>
      <c r="G90" s="275">
        <f>('Pivot Table for Data Exchange'!$D$558)*100</f>
        <v>0</v>
      </c>
      <c r="H90" s="273">
        <f>('Pivot Table for Data Exchange'!$D$561)*100</f>
        <v>0</v>
      </c>
      <c r="I90" s="276" t="s">
        <v>681</v>
      </c>
      <c r="J90" s="273">
        <f>('Pivot Table for Data Exchange'!$D$564)*100</f>
        <v>0</v>
      </c>
      <c r="K90" s="273">
        <f>('Pivot Table for Data Exchange'!$D$567)*100</f>
        <v>0</v>
      </c>
      <c r="L90" s="274">
        <f>SUM(M90:O90)</f>
        <v>0</v>
      </c>
      <c r="M90" s="273">
        <f>('Pivot Table for Data Exchange'!$D$570)*100</f>
        <v>0</v>
      </c>
      <c r="N90" s="273">
        <f>('Pivot Table for Data Exchange'!$D$573)*100</f>
        <v>0</v>
      </c>
      <c r="O90" s="275">
        <f>('Pivot Table for Data Exchange'!$D$576)*100</f>
        <v>0</v>
      </c>
      <c r="P90" s="273">
        <f>('Pivot Table for Data Exchange'!$D$579)*100</f>
        <v>0</v>
      </c>
      <c r="Q90" s="265">
        <f t="shared" si="14"/>
        <v>0</v>
      </c>
      <c r="R90" s="265">
        <f t="shared" si="15"/>
        <v>0</v>
      </c>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row>
    <row r="91" spans="1:41" s="278" customFormat="1" ht="11.25" customHeight="1">
      <c r="A91" s="279" t="s">
        <v>706</v>
      </c>
      <c r="B91" s="280"/>
      <c r="C91" s="280"/>
      <c r="D91" s="281"/>
      <c r="E91" s="280"/>
      <c r="F91" s="281"/>
      <c r="G91" s="281"/>
      <c r="H91" s="280"/>
      <c r="I91" s="279" t="s">
        <v>706</v>
      </c>
      <c r="J91" s="280"/>
      <c r="K91" s="280"/>
      <c r="L91" s="281"/>
      <c r="M91" s="280"/>
      <c r="N91" s="281"/>
      <c r="O91" s="281"/>
      <c r="P91" s="280"/>
      <c r="Q91" s="265"/>
      <c r="R91" s="265"/>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row>
    <row r="92" spans="1:41" s="278" customFormat="1" ht="10.5" customHeight="1">
      <c r="A92" s="283"/>
      <c r="B92" s="292"/>
      <c r="C92" s="292"/>
      <c r="D92" s="233"/>
      <c r="E92" s="292"/>
      <c r="F92" s="292"/>
      <c r="G92" s="292"/>
      <c r="H92" s="292"/>
      <c r="I92" s="283"/>
      <c r="J92" s="292"/>
      <c r="K92" s="292"/>
      <c r="L92" s="233"/>
      <c r="M92" s="292"/>
      <c r="N92" s="292"/>
      <c r="O92" s="292"/>
      <c r="P92" s="292"/>
      <c r="Q92" s="265"/>
      <c r="R92" s="265"/>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row>
    <row r="93" spans="1:41" s="278" customFormat="1" ht="13.5" customHeight="1">
      <c r="A93" s="289"/>
      <c r="B93" s="290"/>
      <c r="H93" s="284" t="s">
        <v>839</v>
      </c>
      <c r="I93" s="289"/>
      <c r="P93" s="284" t="s">
        <v>839</v>
      </c>
      <c r="Q93" s="265"/>
      <c r="R93" s="265"/>
    </row>
    <row r="94" spans="1:41" ht="18">
      <c r="A94" s="226" t="s">
        <v>710</v>
      </c>
      <c r="B94" s="227"/>
      <c r="C94" s="227"/>
      <c r="D94" s="227"/>
      <c r="E94" s="227"/>
      <c r="F94" s="227"/>
      <c r="G94" s="227"/>
      <c r="H94" s="227"/>
      <c r="I94" s="226" t="s">
        <v>711</v>
      </c>
      <c r="J94" s="228"/>
      <c r="K94" s="228"/>
      <c r="L94" s="227"/>
      <c r="M94" s="228"/>
      <c r="N94" s="228"/>
      <c r="O94" s="228"/>
      <c r="P94" s="228"/>
      <c r="Q94" s="265"/>
      <c r="R94" s="265"/>
    </row>
    <row r="95" spans="1:41" ht="13">
      <c r="A95" s="232"/>
      <c r="B95" s="228"/>
      <c r="C95" s="228"/>
      <c r="D95" s="228"/>
      <c r="E95" s="228"/>
      <c r="F95" s="228"/>
      <c r="G95" s="228"/>
      <c r="H95" s="228"/>
      <c r="I95" s="232"/>
      <c r="J95" s="228"/>
      <c r="K95" s="228"/>
      <c r="L95" s="228"/>
      <c r="M95" s="228"/>
      <c r="N95" s="228"/>
      <c r="O95" s="228"/>
      <c r="P95" s="228"/>
      <c r="Q95" s="265"/>
      <c r="R95" s="265"/>
    </row>
    <row r="96" spans="1:41" ht="15.5">
      <c r="A96" s="234" t="s">
        <v>687</v>
      </c>
      <c r="B96" s="228"/>
      <c r="C96" s="228"/>
      <c r="D96" s="228"/>
      <c r="E96" s="228"/>
      <c r="F96" s="228"/>
      <c r="G96" s="228"/>
      <c r="H96" s="228"/>
      <c r="I96" s="234" t="s">
        <v>688</v>
      </c>
      <c r="J96" s="228"/>
      <c r="K96" s="228"/>
      <c r="L96" s="228"/>
      <c r="M96" s="228"/>
      <c r="N96" s="228"/>
      <c r="O96" s="228"/>
      <c r="P96" s="228"/>
      <c r="Q96" s="265"/>
      <c r="R96" s="265"/>
    </row>
    <row r="97" spans="1:41" ht="15.5">
      <c r="A97" s="234" t="s">
        <v>767</v>
      </c>
      <c r="B97" s="228"/>
      <c r="C97" s="228"/>
      <c r="D97" s="228"/>
      <c r="E97" s="228"/>
      <c r="F97" s="228"/>
      <c r="G97" s="228"/>
      <c r="H97" s="228"/>
      <c r="I97" s="234" t="s">
        <v>767</v>
      </c>
      <c r="J97" s="228"/>
      <c r="K97" s="228"/>
      <c r="L97" s="228"/>
      <c r="M97" s="228"/>
      <c r="N97" s="228"/>
      <c r="O97" s="228"/>
      <c r="P97" s="228"/>
      <c r="Q97" s="265"/>
      <c r="R97" s="265"/>
    </row>
    <row r="98" spans="1:41">
      <c r="A98" s="237"/>
      <c r="B98" s="238"/>
      <c r="C98" s="238"/>
      <c r="D98" s="238"/>
      <c r="E98" s="238"/>
      <c r="F98" s="238"/>
      <c r="G98" s="238"/>
      <c r="H98" s="238"/>
      <c r="I98" s="239"/>
      <c r="L98" s="240"/>
      <c r="P98" s="237"/>
      <c r="Q98" s="265"/>
      <c r="R98" s="265"/>
    </row>
    <row r="99" spans="1:41" s="247" customFormat="1">
      <c r="A99" s="242"/>
      <c r="B99" s="483" t="s">
        <v>689</v>
      </c>
      <c r="C99" s="483"/>
      <c r="D99" s="483"/>
      <c r="E99" s="483"/>
      <c r="F99" s="483"/>
      <c r="G99" s="483"/>
      <c r="H99" s="483"/>
      <c r="I99" s="242"/>
      <c r="J99" s="243" t="s">
        <v>689</v>
      </c>
      <c r="K99" s="243"/>
      <c r="L99" s="243"/>
      <c r="M99" s="243"/>
      <c r="N99" s="243"/>
      <c r="O99" s="243"/>
      <c r="P99" s="244"/>
      <c r="Q99" s="265"/>
      <c r="R99" s="265"/>
    </row>
    <row r="100" spans="1:41" s="247" customFormat="1">
      <c r="A100" s="242"/>
      <c r="B100" s="243" t="s">
        <v>690</v>
      </c>
      <c r="C100" s="243"/>
      <c r="D100" s="485" t="s">
        <v>691</v>
      </c>
      <c r="E100" s="483"/>
      <c r="F100" s="483"/>
      <c r="G100" s="483"/>
      <c r="H100" s="250" t="s">
        <v>581</v>
      </c>
      <c r="I100" s="242"/>
      <c r="J100" s="243" t="s">
        <v>690</v>
      </c>
      <c r="K100" s="243"/>
      <c r="L100" s="485" t="s">
        <v>691</v>
      </c>
      <c r="M100" s="483"/>
      <c r="N100" s="483"/>
      <c r="O100" s="483"/>
      <c r="P100" s="250" t="s">
        <v>581</v>
      </c>
      <c r="Q100" s="265"/>
      <c r="R100" s="265"/>
    </row>
    <row r="101" spans="1:41" s="247" customFormat="1" ht="40.5" customHeight="1">
      <c r="A101" s="242"/>
      <c r="B101" s="251" t="s">
        <v>692</v>
      </c>
      <c r="C101" s="252" t="s">
        <v>693</v>
      </c>
      <c r="D101" s="253" t="s">
        <v>694</v>
      </c>
      <c r="E101" s="254" t="s">
        <v>8</v>
      </c>
      <c r="F101" s="251" t="s">
        <v>695</v>
      </c>
      <c r="G101" s="255" t="s">
        <v>704</v>
      </c>
      <c r="H101" s="256" t="s">
        <v>697</v>
      </c>
      <c r="I101" s="242"/>
      <c r="J101" s="251" t="s">
        <v>692</v>
      </c>
      <c r="K101" s="252" t="s">
        <v>693</v>
      </c>
      <c r="L101" s="253" t="s">
        <v>694</v>
      </c>
      <c r="M101" s="254" t="s">
        <v>8</v>
      </c>
      <c r="N101" s="251" t="s">
        <v>695</v>
      </c>
      <c r="O101" s="255" t="s">
        <v>704</v>
      </c>
      <c r="P101" s="256" t="s">
        <v>697</v>
      </c>
      <c r="Q101" s="265"/>
      <c r="R101" s="265"/>
      <c r="T101" s="285"/>
    </row>
    <row r="102" spans="1:41" ht="15.75" customHeight="1">
      <c r="A102" s="286" t="s">
        <v>666</v>
      </c>
      <c r="B102" s="260">
        <f>('Pivot Table for Data Exchange'!$E$6)*100</f>
        <v>75.132683363217268</v>
      </c>
      <c r="C102" s="260">
        <f>('Pivot Table for Data Exchange'!$E$9)*100</f>
        <v>0.356428334322344</v>
      </c>
      <c r="D102" s="261">
        <f>SUM(E102:G102)</f>
        <v>24.510888302460394</v>
      </c>
      <c r="E102" s="260">
        <f>('Pivot Table for Data Exchange'!$E$12)*100</f>
        <v>23.267170015418312</v>
      </c>
      <c r="F102" s="260">
        <f>('Pivot Table for Data Exchange'!$E$15)*100</f>
        <v>3.4989189237684251E-2</v>
      </c>
      <c r="G102" s="293">
        <f>('Pivot Table for Data Exchange'!$E$18)*100</f>
        <v>1.2087290978043963</v>
      </c>
      <c r="H102" s="260">
        <f>('Pivot Table for Data Exchange'!$E$21)*100</f>
        <v>0</v>
      </c>
      <c r="I102" s="263" t="s">
        <v>666</v>
      </c>
      <c r="J102" s="260">
        <f>('Pivot Table for Data Exchange'!$E$24)*100</f>
        <v>41.378884497934251</v>
      </c>
      <c r="K102" s="260">
        <f>('Pivot Table for Data Exchange'!$E$27)*100</f>
        <v>0.69157535476917553</v>
      </c>
      <c r="L102" s="261">
        <f>SUM(M102:O102)</f>
        <v>57.929540147296578</v>
      </c>
      <c r="M102" s="260">
        <f>('Pivot Table for Data Exchange'!$E$30)*100</f>
        <v>56.333078857553446</v>
      </c>
      <c r="N102" s="272">
        <f>('Pivot Table for Data Exchange'!$E$33)*100</f>
        <v>1.3472247170828093E-2</v>
      </c>
      <c r="O102" s="264">
        <f>('Pivot Table for Data Exchange'!$E$36)*100</f>
        <v>1.5829890425723012</v>
      </c>
      <c r="P102" s="260">
        <f>('Pivot Table for Data Exchange'!$E$39)*100</f>
        <v>0</v>
      </c>
      <c r="Q102" s="265">
        <f>SUM(B102,C102,D102,H102)</f>
        <v>100</v>
      </c>
      <c r="R102" s="265">
        <f t="shared" si="15"/>
        <v>100</v>
      </c>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row>
    <row r="103" spans="1:41" ht="15.75" customHeight="1">
      <c r="A103" s="231" t="s">
        <v>667</v>
      </c>
      <c r="B103" s="260">
        <f>('Pivot Table for Data Exchange'!$E$42)*100</f>
        <v>72.733086489682293</v>
      </c>
      <c r="C103" s="260">
        <f>('Pivot Table for Data Exchange'!$E$45)*100</f>
        <v>5.0302333442529239</v>
      </c>
      <c r="D103" s="261">
        <f t="shared" ref="D103:D105" si="22">SUM(E103:G103)</f>
        <v>22.2250645060669</v>
      </c>
      <c r="E103" s="260">
        <f>('Pivot Table for Data Exchange'!$E$48)*100</f>
        <v>21.791761234235658</v>
      </c>
      <c r="F103" s="260">
        <f>('Pivot Table for Data Exchange'!$E$51)*100</f>
        <v>0.17815029097880858</v>
      </c>
      <c r="G103" s="268">
        <f>('Pivot Table for Data Exchange'!$E$54)*100</f>
        <v>0.25515298085243282</v>
      </c>
      <c r="H103" s="272">
        <f>('Pivot Table for Data Exchange'!$E$57)*100</f>
        <v>1.1615659997885688E-2</v>
      </c>
      <c r="I103" s="266" t="s">
        <v>667</v>
      </c>
      <c r="J103" s="260">
        <f>('Pivot Table for Data Exchange'!$E$60)*100</f>
        <v>31.352415966386555</v>
      </c>
      <c r="K103" s="260">
        <f>('Pivot Table for Data Exchange'!$E$63)*100</f>
        <v>0.10241596638655463</v>
      </c>
      <c r="L103" s="261">
        <f t="shared" ref="L103:L105" si="23">SUM(M103:O103)</f>
        <v>68.535320378151269</v>
      </c>
      <c r="M103" s="260">
        <f>('Pivot Table for Data Exchange'!$E$66)*100</f>
        <v>65.278361344537814</v>
      </c>
      <c r="N103" s="260">
        <f>('Pivot Table for Data Exchange'!$E$69)*100</f>
        <v>2.7895220588235294</v>
      </c>
      <c r="O103" s="268">
        <f>('Pivot Table for Data Exchange'!$E$72)*100</f>
        <v>0.46743697478991597</v>
      </c>
      <c r="P103" s="260">
        <f>('Pivot Table for Data Exchange'!$E$75)*100</f>
        <v>9.8476890756302518E-3</v>
      </c>
      <c r="Q103" s="265">
        <f t="shared" si="14"/>
        <v>100</v>
      </c>
      <c r="R103" s="265">
        <f t="shared" si="15"/>
        <v>100</v>
      </c>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row>
    <row r="104" spans="1:41" ht="15.75" customHeight="1">
      <c r="A104" s="231" t="s">
        <v>668</v>
      </c>
      <c r="B104" s="260">
        <f>('Pivot Table for Data Exchange'!$E$78)*100</f>
        <v>92.338077300775353</v>
      </c>
      <c r="C104" s="260">
        <f>('Pivot Table for Data Exchange'!$E$81)*100</f>
        <v>0</v>
      </c>
      <c r="D104" s="261">
        <f t="shared" si="22"/>
        <v>7.6619226992246476</v>
      </c>
      <c r="E104" s="260">
        <f>('Pivot Table for Data Exchange'!$E$84)*100</f>
        <v>7.6619226992246476</v>
      </c>
      <c r="F104" s="260">
        <f>('Pivot Table for Data Exchange'!$E$87)*100</f>
        <v>0</v>
      </c>
      <c r="G104" s="268">
        <f>('Pivot Table for Data Exchange'!$E$90)*100</f>
        <v>0</v>
      </c>
      <c r="H104" s="260">
        <f>('Pivot Table for Data Exchange'!$E$93)*100</f>
        <v>0</v>
      </c>
      <c r="I104" s="266" t="s">
        <v>668</v>
      </c>
      <c r="J104" s="260">
        <f>('Pivot Table for Data Exchange'!$E$96)*100</f>
        <v>77.400505369551482</v>
      </c>
      <c r="K104" s="260">
        <f>('Pivot Table for Data Exchange'!$E$99)*100</f>
        <v>0</v>
      </c>
      <c r="L104" s="261">
        <f t="shared" si="23"/>
        <v>22.599494630448515</v>
      </c>
      <c r="M104" s="260">
        <f>('Pivot Table for Data Exchange'!$E$102)*100</f>
        <v>22.599494630448515</v>
      </c>
      <c r="N104" s="260">
        <f>('Pivot Table for Data Exchange'!$E$105)*100</f>
        <v>0</v>
      </c>
      <c r="O104" s="268">
        <f>('Pivot Table for Data Exchange'!$E$108)*100</f>
        <v>0</v>
      </c>
      <c r="P104" s="260">
        <f>('Pivot Table for Data Exchange'!$E$111)*100</f>
        <v>0</v>
      </c>
      <c r="Q104" s="265">
        <f t="shared" si="14"/>
        <v>100</v>
      </c>
      <c r="R104" s="265">
        <f t="shared" si="15"/>
        <v>100</v>
      </c>
      <c r="S104" s="266"/>
      <c r="T104" s="240"/>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row>
    <row r="105" spans="1:41" ht="15.75" customHeight="1">
      <c r="A105" s="231" t="s">
        <v>705</v>
      </c>
      <c r="B105" s="260">
        <f>('Pivot Table for Data Exchange'!$E$114)*100</f>
        <v>0</v>
      </c>
      <c r="C105" s="260">
        <f>('Pivot Table for Data Exchange'!$E$117)*100</f>
        <v>0</v>
      </c>
      <c r="D105" s="261">
        <f t="shared" si="22"/>
        <v>0</v>
      </c>
      <c r="E105" s="260">
        <f>('Pivot Table for Data Exchange'!$E$120)*100</f>
        <v>0</v>
      </c>
      <c r="F105" s="260">
        <f>('Pivot Table for Data Exchange'!$E$123)*100</f>
        <v>0</v>
      </c>
      <c r="G105" s="268">
        <f>('Pivot Table for Data Exchange'!$E$126)*100</f>
        <v>0</v>
      </c>
      <c r="H105" s="260">
        <f>('Pivot Table for Data Exchange'!$E$129)*100</f>
        <v>0</v>
      </c>
      <c r="I105" s="266" t="s">
        <v>705</v>
      </c>
      <c r="J105" s="260">
        <f>('Pivot Table for Data Exchange'!$E$132)*100</f>
        <v>0</v>
      </c>
      <c r="K105" s="260">
        <f>('Pivot Table for Data Exchange'!$E$135)*100</f>
        <v>0</v>
      </c>
      <c r="L105" s="261">
        <f t="shared" si="23"/>
        <v>0</v>
      </c>
      <c r="M105" s="260">
        <f>('Pivot Table for Data Exchange'!$E$138)*100</f>
        <v>0</v>
      </c>
      <c r="N105" s="260">
        <f>('Pivot Table for Data Exchange'!$E$141)*100</f>
        <v>0</v>
      </c>
      <c r="O105" s="268">
        <f>('Pivot Table for Data Exchange'!$E$144)*100</f>
        <v>0</v>
      </c>
      <c r="P105" s="260">
        <f>('Pivot Table for Data Exchange'!$E$147)*100</f>
        <v>0</v>
      </c>
      <c r="Q105" s="265">
        <f t="shared" si="14"/>
        <v>0</v>
      </c>
      <c r="R105" s="265">
        <f t="shared" si="15"/>
        <v>0</v>
      </c>
      <c r="S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row>
    <row r="106" spans="1:41" ht="11.25" customHeight="1">
      <c r="B106" s="260"/>
      <c r="C106" s="260"/>
      <c r="D106" s="261"/>
      <c r="E106" s="260"/>
      <c r="F106" s="260"/>
      <c r="G106" s="268"/>
      <c r="H106" s="260"/>
      <c r="I106" s="266"/>
      <c r="J106" s="260"/>
      <c r="K106" s="260"/>
      <c r="L106" s="261"/>
      <c r="M106" s="260"/>
      <c r="N106" s="260"/>
      <c r="O106" s="268"/>
      <c r="P106" s="260"/>
      <c r="Q106" s="265">
        <f t="shared" si="14"/>
        <v>0</v>
      </c>
      <c r="R106" s="265">
        <f t="shared" si="15"/>
        <v>0</v>
      </c>
      <c r="S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row>
    <row r="107" spans="1:41" ht="15.75" customHeight="1">
      <c r="A107" s="231" t="s">
        <v>670</v>
      </c>
      <c r="B107" s="260">
        <f>('Pivot Table for Data Exchange'!$E$150)*100</f>
        <v>74.396211952408621</v>
      </c>
      <c r="C107" s="260">
        <f>('Pivot Table for Data Exchange'!$E$153)*100</f>
        <v>1.1470164610551794</v>
      </c>
      <c r="D107" s="261">
        <f t="shared" ref="D107:D110" si="24">SUM(E107:G107)</f>
        <v>24.456771586536199</v>
      </c>
      <c r="E107" s="260">
        <f>('Pivot Table for Data Exchange'!$E$156)*100</f>
        <v>24.437499302168543</v>
      </c>
      <c r="F107" s="260">
        <f>('Pivot Table for Data Exchange'!$E$159)*100</f>
        <v>1.354399833394257E-2</v>
      </c>
      <c r="G107" s="268">
        <f>('Pivot Table for Data Exchange'!$E$162)*100</f>
        <v>5.728286033710478E-3</v>
      </c>
      <c r="H107" s="260">
        <f>('Pivot Table for Data Exchange'!$E$165)*100</f>
        <v>0</v>
      </c>
      <c r="I107" s="266" t="s">
        <v>670</v>
      </c>
      <c r="J107" s="260">
        <f>('Pivot Table for Data Exchange'!$E$168)*100</f>
        <v>32.615383105764373</v>
      </c>
      <c r="K107" s="260">
        <f>('Pivot Table for Data Exchange'!$E$171)*100</f>
        <v>1.0381658415963027</v>
      </c>
      <c r="L107" s="261">
        <f t="shared" ref="L107:L110" si="25">SUM(M107:O107)</f>
        <v>66.346451052639338</v>
      </c>
      <c r="M107" s="260">
        <f>('Pivot Table for Data Exchange'!$E$174)*100</f>
        <v>66.339091653951272</v>
      </c>
      <c r="N107" s="260">
        <f>('Pivot Table for Data Exchange'!$E$177)*100</f>
        <v>7.3593986880645277E-3</v>
      </c>
      <c r="O107" s="268">
        <f>('Pivot Table for Data Exchange'!$E$180)*100</f>
        <v>0</v>
      </c>
      <c r="P107" s="260">
        <f>('Pivot Table for Data Exchange'!$E$183)*100</f>
        <v>0</v>
      </c>
      <c r="Q107" s="265">
        <f t="shared" si="14"/>
        <v>100</v>
      </c>
      <c r="R107" s="265">
        <f t="shared" si="15"/>
        <v>100.00000000000001</v>
      </c>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row>
    <row r="108" spans="1:41" ht="15.75" customHeight="1">
      <c r="A108" s="231" t="s">
        <v>671</v>
      </c>
      <c r="B108" s="260">
        <f>('Pivot Table for Data Exchange'!$E$186)*100</f>
        <v>72.249816070860916</v>
      </c>
      <c r="C108" s="260">
        <f>('Pivot Table for Data Exchange'!$E$189)*100</f>
        <v>6.1524861222965965</v>
      </c>
      <c r="D108" s="261">
        <f t="shared" si="24"/>
        <v>21.597697806842486</v>
      </c>
      <c r="E108" s="260">
        <f>('Pivot Table for Data Exchange'!$E$192)*100</f>
        <v>20.218535543621027</v>
      </c>
      <c r="F108" s="260">
        <f>('Pivot Table for Data Exchange'!$E$195)*100</f>
        <v>1.3754869044387372</v>
      </c>
      <c r="G108" s="268">
        <f>('Pivot Table for Data Exchange'!$E$198)*100</f>
        <v>3.675358782721171E-3</v>
      </c>
      <c r="H108" s="260">
        <f>('Pivot Table for Data Exchange'!$E$201)*100</f>
        <v>0</v>
      </c>
      <c r="I108" s="266" t="s">
        <v>671</v>
      </c>
      <c r="J108" s="260">
        <f>('Pivot Table for Data Exchange'!$E$204)*100</f>
        <v>42.683542011589402</v>
      </c>
      <c r="K108" s="260">
        <f>('Pivot Table for Data Exchange'!$E$207)*100</f>
        <v>3.0441587334437084</v>
      </c>
      <c r="L108" s="261">
        <f t="shared" si="25"/>
        <v>54.272299254966882</v>
      </c>
      <c r="M108" s="260">
        <f>('Pivot Table for Data Exchange'!$E$210)*100</f>
        <v>53.611987789735096</v>
      </c>
      <c r="N108" s="260">
        <f>('Pivot Table for Data Exchange'!$E$213)*100</f>
        <v>0.65449089403973504</v>
      </c>
      <c r="O108" s="267">
        <f>('Pivot Table for Data Exchange'!$E$216)*100</f>
        <v>5.8205711920529804E-3</v>
      </c>
      <c r="P108" s="260">
        <f>('Pivot Table for Data Exchange'!$E$219)*100</f>
        <v>0</v>
      </c>
      <c r="Q108" s="265">
        <f t="shared" si="14"/>
        <v>100</v>
      </c>
      <c r="R108" s="265">
        <f t="shared" si="15"/>
        <v>100</v>
      </c>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row>
    <row r="109" spans="1:41" ht="15.75" customHeight="1">
      <c r="A109" s="231" t="s">
        <v>672</v>
      </c>
      <c r="B109" s="260">
        <f>('Pivot Table for Data Exchange'!$E$222)*100</f>
        <v>80.504178027306992</v>
      </c>
      <c r="C109" s="260">
        <f>('Pivot Table for Data Exchange'!$E$225)*100</f>
        <v>0</v>
      </c>
      <c r="D109" s="261">
        <f t="shared" si="24"/>
        <v>19.495821972693001</v>
      </c>
      <c r="E109" s="260">
        <f>('Pivot Table for Data Exchange'!$E$228)*100</f>
        <v>19.495821972693001</v>
      </c>
      <c r="F109" s="260">
        <f>('Pivot Table for Data Exchange'!$E$231)*100</f>
        <v>0</v>
      </c>
      <c r="G109" s="268">
        <f>('Pivot Table for Data Exchange'!$E$234)*100</f>
        <v>0</v>
      </c>
      <c r="H109" s="260">
        <f>('Pivot Table for Data Exchange'!$E$237)*100</f>
        <v>0</v>
      </c>
      <c r="I109" s="266" t="s">
        <v>672</v>
      </c>
      <c r="J109" s="260">
        <f>('Pivot Table for Data Exchange'!$E$240)*100</f>
        <v>57.942735342003417</v>
      </c>
      <c r="K109" s="260">
        <f>('Pivot Table for Data Exchange'!$E$243)*100</f>
        <v>0</v>
      </c>
      <c r="L109" s="261">
        <f t="shared" si="25"/>
        <v>42.057264657996591</v>
      </c>
      <c r="M109" s="260">
        <f>('Pivot Table for Data Exchange'!$E$246)*100</f>
        <v>42.057264657996591</v>
      </c>
      <c r="N109" s="260">
        <f>('Pivot Table for Data Exchange'!$E$249)*100</f>
        <v>0</v>
      </c>
      <c r="O109" s="268">
        <f>('Pivot Table for Data Exchange'!$E$252)*100</f>
        <v>0</v>
      </c>
      <c r="P109" s="260">
        <f>('Pivot Table for Data Exchange'!$E$255)*100</f>
        <v>0</v>
      </c>
      <c r="Q109" s="265">
        <f t="shared" si="14"/>
        <v>100</v>
      </c>
      <c r="R109" s="265">
        <f t="shared" si="15"/>
        <v>100</v>
      </c>
      <c r="S109" s="266"/>
      <c r="T109" s="240"/>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row>
    <row r="110" spans="1:41" ht="15.75" customHeight="1">
      <c r="A110" s="231" t="s">
        <v>673</v>
      </c>
      <c r="B110" s="260">
        <f>('Pivot Table for Data Exchange'!$E$258)*100</f>
        <v>85.216798577998844</v>
      </c>
      <c r="C110" s="260">
        <f>('Pivot Table for Data Exchange'!$E$261)*100</f>
        <v>2.1587578652593207</v>
      </c>
      <c r="D110" s="261">
        <f t="shared" si="24"/>
        <v>12.624443556741832</v>
      </c>
      <c r="E110" s="260">
        <f>('Pivot Table for Data Exchange'!$E$264)*100</f>
        <v>12.624443556741832</v>
      </c>
      <c r="F110" s="260">
        <f>('Pivot Table for Data Exchange'!$E$267)*100</f>
        <v>0</v>
      </c>
      <c r="G110" s="268">
        <f>('Pivot Table for Data Exchange'!$E$270)*100</f>
        <v>0</v>
      </c>
      <c r="H110" s="260">
        <f>('Pivot Table for Data Exchange'!$E$273)*100</f>
        <v>0</v>
      </c>
      <c r="I110" s="266" t="s">
        <v>673</v>
      </c>
      <c r="J110" s="260">
        <f>('Pivot Table for Data Exchange'!$E$276)*100</f>
        <v>66.443269668030922</v>
      </c>
      <c r="K110" s="260">
        <f>('Pivot Table for Data Exchange'!$E$279)*100</f>
        <v>9.3673260572987722</v>
      </c>
      <c r="L110" s="261">
        <f t="shared" si="25"/>
        <v>24.189404274670302</v>
      </c>
      <c r="M110" s="260">
        <f>('Pivot Table for Data Exchange'!$E$282)*100</f>
        <v>24.189404274670302</v>
      </c>
      <c r="N110" s="260">
        <f>('Pivot Table for Data Exchange'!$E$285)*100</f>
        <v>0</v>
      </c>
      <c r="O110" s="268">
        <f>('Pivot Table for Data Exchange'!$E$288)*100</f>
        <v>0</v>
      </c>
      <c r="P110" s="260">
        <f>('Pivot Table for Data Exchange'!$E$291)*100</f>
        <v>0</v>
      </c>
      <c r="Q110" s="265">
        <f t="shared" si="14"/>
        <v>100</v>
      </c>
      <c r="R110" s="265">
        <f t="shared" si="15"/>
        <v>100</v>
      </c>
      <c r="S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row>
    <row r="111" spans="1:41" ht="11.25" customHeight="1">
      <c r="B111" s="260"/>
      <c r="C111" s="260"/>
      <c r="D111" s="261"/>
      <c r="E111" s="260"/>
      <c r="F111" s="260"/>
      <c r="G111" s="268"/>
      <c r="H111" s="260"/>
      <c r="I111" s="266"/>
      <c r="J111" s="260"/>
      <c r="K111" s="260"/>
      <c r="L111" s="261"/>
      <c r="M111" s="260"/>
      <c r="N111" s="260"/>
      <c r="O111" s="268"/>
      <c r="P111" s="260"/>
      <c r="Q111" s="265">
        <f t="shared" si="14"/>
        <v>0</v>
      </c>
      <c r="R111" s="265">
        <f t="shared" si="15"/>
        <v>0</v>
      </c>
      <c r="S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row>
    <row r="112" spans="1:41" ht="15.75" customHeight="1">
      <c r="A112" s="231" t="s">
        <v>674</v>
      </c>
      <c r="B112" s="260">
        <f>('Pivot Table for Data Exchange'!$E$294)*100</f>
        <v>0</v>
      </c>
      <c r="C112" s="260">
        <f>('Pivot Table for Data Exchange'!$E$297)*100</f>
        <v>0</v>
      </c>
      <c r="D112" s="261">
        <f t="shared" ref="D112:D114" si="26">SUM(E112:G112)</f>
        <v>0</v>
      </c>
      <c r="E112" s="260">
        <f>('Pivot Table for Data Exchange'!$E$300)*100</f>
        <v>0</v>
      </c>
      <c r="F112" s="260">
        <f>('Pivot Table for Data Exchange'!$E$303)*100</f>
        <v>0</v>
      </c>
      <c r="G112" s="268">
        <f>('Pivot Table for Data Exchange'!$E$306)*100</f>
        <v>0</v>
      </c>
      <c r="H112" s="260">
        <f>('Pivot Table for Data Exchange'!$E$309)*100</f>
        <v>0</v>
      </c>
      <c r="I112" s="266" t="s">
        <v>674</v>
      </c>
      <c r="J112" s="260">
        <f>('Pivot Table for Data Exchange'!$E$312)*100</f>
        <v>0</v>
      </c>
      <c r="K112" s="260">
        <f>('Pivot Table for Data Exchange'!$E$315)*100</f>
        <v>0</v>
      </c>
      <c r="L112" s="261">
        <f t="shared" ref="L112:L114" si="27">SUM(M112:O112)</f>
        <v>0</v>
      </c>
      <c r="M112" s="260">
        <f>('Pivot Table for Data Exchange'!$E$318)*100</f>
        <v>0</v>
      </c>
      <c r="N112" s="260">
        <f>('Pivot Table for Data Exchange'!$E$321)*100</f>
        <v>0</v>
      </c>
      <c r="O112" s="268">
        <f>('Pivot Table for Data Exchange'!$E$324)*100</f>
        <v>0</v>
      </c>
      <c r="P112" s="260">
        <f>('Pivot Table for Data Exchange'!$E$327)*100</f>
        <v>0</v>
      </c>
      <c r="Q112" s="265">
        <f t="shared" si="14"/>
        <v>0</v>
      </c>
      <c r="R112" s="265">
        <f t="shared" si="15"/>
        <v>0</v>
      </c>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row>
    <row r="113" spans="1:41" ht="15.75" customHeight="1">
      <c r="A113" s="231" t="s">
        <v>675</v>
      </c>
      <c r="B113" s="260">
        <f>('Pivot Table for Data Exchange'!$E$330)*100</f>
        <v>82.668568110094284</v>
      </c>
      <c r="C113" s="260">
        <f>('Pivot Table for Data Exchange'!$E$333)*100</f>
        <v>0.65502713345563657</v>
      </c>
      <c r="D113" s="261">
        <f t="shared" si="26"/>
        <v>16.676404756450079</v>
      </c>
      <c r="E113" s="260">
        <f>('Pivot Table for Data Exchange'!$E$336)*100</f>
        <v>16.66415074681381</v>
      </c>
      <c r="F113" s="272">
        <f>('Pivot Table for Data Exchange'!$E$339)*100</f>
        <v>1.2254009636269027E-2</v>
      </c>
      <c r="G113" s="267">
        <f>('Pivot Table for Data Exchange'!$E$342)*100</f>
        <v>0</v>
      </c>
      <c r="H113" s="260">
        <f>('Pivot Table for Data Exchange'!$E$345)*100</f>
        <v>0</v>
      </c>
      <c r="I113" s="266" t="s">
        <v>675</v>
      </c>
      <c r="J113" s="260">
        <f>('Pivot Table for Data Exchange'!$E$348)*100</f>
        <v>56.513552835886593</v>
      </c>
      <c r="K113" s="260">
        <f>('Pivot Table for Data Exchange'!$E$351)*100</f>
        <v>5.7439082539643724</v>
      </c>
      <c r="L113" s="261">
        <f t="shared" si="27"/>
        <v>37.742538910149044</v>
      </c>
      <c r="M113" s="260">
        <f>('Pivot Table for Data Exchange'!$E$354)*100</f>
        <v>37.720531598831172</v>
      </c>
      <c r="N113" s="272">
        <f>('Pivot Table for Data Exchange'!$E$357)*100</f>
        <v>2.2007311317871158E-2</v>
      </c>
      <c r="O113" s="268">
        <f>('Pivot Table for Data Exchange'!$E$360)*100</f>
        <v>0</v>
      </c>
      <c r="P113" s="260">
        <f>('Pivot Table for Data Exchange'!$E$363)*100</f>
        <v>0</v>
      </c>
      <c r="Q113" s="265">
        <f t="shared" si="14"/>
        <v>100</v>
      </c>
      <c r="R113" s="265">
        <f t="shared" si="15"/>
        <v>100</v>
      </c>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row>
    <row r="114" spans="1:41" ht="15.75" customHeight="1">
      <c r="A114" s="231" t="s">
        <v>676</v>
      </c>
      <c r="B114" s="260">
        <f>('Pivot Table for Data Exchange'!$E$366)*100</f>
        <v>73.184446520589773</v>
      </c>
      <c r="C114" s="260">
        <f>('Pivot Table for Data Exchange'!$E$369)*100</f>
        <v>0.99991647939274686</v>
      </c>
      <c r="D114" s="261">
        <f t="shared" si="26"/>
        <v>25.815637000017485</v>
      </c>
      <c r="E114" s="260">
        <f>('Pivot Table for Data Exchange'!$E$372)*100</f>
        <v>24.449589486503655</v>
      </c>
      <c r="F114" s="260">
        <f>('Pivot Table for Data Exchange'!$E$375)*100</f>
        <v>0.60600998751075574</v>
      </c>
      <c r="G114" s="268">
        <f>('Pivot Table for Data Exchange'!$E$378)*100</f>
        <v>0.76003752600307284</v>
      </c>
      <c r="H114" s="260">
        <f>('Pivot Table for Data Exchange'!$E$381)*100</f>
        <v>0</v>
      </c>
      <c r="I114" s="266" t="s">
        <v>676</v>
      </c>
      <c r="J114" s="260">
        <f>('Pivot Table for Data Exchange'!$E$384)*100</f>
        <v>76.551294044278137</v>
      </c>
      <c r="K114" s="260">
        <f>('Pivot Table for Data Exchange'!$E$387)*100</f>
        <v>0.44768141119871713</v>
      </c>
      <c r="L114" s="261">
        <f t="shared" si="27"/>
        <v>23.001024544523137</v>
      </c>
      <c r="M114" s="260">
        <f>('Pivot Table for Data Exchange'!$E$390)*100</f>
        <v>17.994120005345447</v>
      </c>
      <c r="N114" s="260">
        <f>('Pivot Table for Data Exchange'!$E$393)*100</f>
        <v>1.8129983518196799</v>
      </c>
      <c r="O114" s="268">
        <f>('Pivot Table for Data Exchange'!$E$396)*100</f>
        <v>3.1939061873580115</v>
      </c>
      <c r="P114" s="260">
        <f>('Pivot Table for Data Exchange'!$E$399)*100</f>
        <v>0</v>
      </c>
      <c r="Q114" s="265">
        <f t="shared" si="14"/>
        <v>100.00000000000001</v>
      </c>
      <c r="R114" s="265">
        <f t="shared" si="15"/>
        <v>99.999999999999986</v>
      </c>
      <c r="S114" s="266"/>
      <c r="T114" s="240"/>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row>
    <row r="115" spans="1:41" ht="15.75" customHeight="1">
      <c r="A115" s="231" t="s">
        <v>677</v>
      </c>
      <c r="B115" s="260">
        <f>('Pivot Table for Data Exchange'!$E$402)*100</f>
        <v>90.722742846095073</v>
      </c>
      <c r="C115" s="260">
        <f>('Pivot Table for Data Exchange'!$E$405)*100</f>
        <v>1.3999215501103317</v>
      </c>
      <c r="D115" s="261">
        <f>SUM(E115:G115)</f>
        <v>7.8773356037945952</v>
      </c>
      <c r="E115" s="260">
        <f>('Pivot Table for Data Exchange'!$E$408)*100</f>
        <v>7.8773356037945952</v>
      </c>
      <c r="F115" s="272">
        <f>('Pivot Table for Data Exchange'!$E$411)*100</f>
        <v>0</v>
      </c>
      <c r="G115" s="268">
        <f>('Pivot Table for Data Exchange'!$E$414)*100</f>
        <v>0</v>
      </c>
      <c r="H115" s="260">
        <f>('Pivot Table for Data Exchange'!$E$417)*100</f>
        <v>0</v>
      </c>
      <c r="I115" s="266" t="s">
        <v>677</v>
      </c>
      <c r="J115" s="260">
        <f>('Pivot Table for Data Exchange'!$E$420)*100</f>
        <v>56.645856226829771</v>
      </c>
      <c r="K115" s="260">
        <f>('Pivot Table for Data Exchange'!$E$423)*100</f>
        <v>9.5470408520607162</v>
      </c>
      <c r="L115" s="261">
        <f>SUM(M115:O115)</f>
        <v>33.807102921109518</v>
      </c>
      <c r="M115" s="260">
        <f>('Pivot Table for Data Exchange'!$E$426)*100</f>
        <v>33.807102921109518</v>
      </c>
      <c r="N115" s="260">
        <f>('Pivot Table for Data Exchange'!$E$429)*100</f>
        <v>0</v>
      </c>
      <c r="O115" s="267">
        <f>('Pivot Table for Data Exchange'!$E$432)*100</f>
        <v>0</v>
      </c>
      <c r="P115" s="260">
        <f>('Pivot Table for Data Exchange'!$E$435)*100</f>
        <v>0</v>
      </c>
      <c r="Q115" s="265">
        <f t="shared" si="14"/>
        <v>100</v>
      </c>
      <c r="R115" s="265">
        <f t="shared" si="15"/>
        <v>100</v>
      </c>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row>
    <row r="116" spans="1:41" ht="11.25" customHeight="1">
      <c r="B116" s="260"/>
      <c r="C116" s="260"/>
      <c r="D116" s="261"/>
      <c r="E116" s="260"/>
      <c r="F116" s="260"/>
      <c r="G116" s="268"/>
      <c r="H116" s="260"/>
      <c r="I116" s="266"/>
      <c r="J116" s="260"/>
      <c r="K116" s="260"/>
      <c r="L116" s="261"/>
      <c r="M116" s="260"/>
      <c r="N116" s="260"/>
      <c r="O116" s="268"/>
      <c r="P116" s="260"/>
      <c r="Q116" s="265">
        <f t="shared" si="14"/>
        <v>0</v>
      </c>
      <c r="R116" s="265">
        <f t="shared" si="15"/>
        <v>0</v>
      </c>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row>
    <row r="117" spans="1:41" ht="15.75" customHeight="1">
      <c r="A117" s="231" t="s">
        <v>678</v>
      </c>
      <c r="B117" s="260">
        <f>('Pivot Table for Data Exchange'!$E$438)*100</f>
        <v>68.095128750161962</v>
      </c>
      <c r="C117" s="260">
        <f>('Pivot Table for Data Exchange'!$E$441)*100</f>
        <v>2.3778339082501958</v>
      </c>
      <c r="D117" s="261">
        <f>SUM(E117:G117)</f>
        <v>28.735152969790889</v>
      </c>
      <c r="E117" s="260">
        <f>('Pivot Table for Data Exchange'!$E$444)*100</f>
        <v>18.847566427591904</v>
      </c>
      <c r="F117" s="260">
        <f>('Pivot Table for Data Exchange'!$E$447)*100</f>
        <v>0</v>
      </c>
      <c r="G117" s="268">
        <f>('Pivot Table for Data Exchange'!$E$450)*100</f>
        <v>9.8875865421989833</v>
      </c>
      <c r="H117" s="260">
        <f>('Pivot Table for Data Exchange'!$E$453)*100</f>
        <v>0.79188437179696058</v>
      </c>
      <c r="I117" s="266" t="s">
        <v>678</v>
      </c>
      <c r="J117" s="260">
        <f>('Pivot Table for Data Exchange'!$E$456)*100</f>
        <v>41.711914174636242</v>
      </c>
      <c r="K117" s="260">
        <f>('Pivot Table for Data Exchange'!$E$459)*100</f>
        <v>0.25098013484030773</v>
      </c>
      <c r="L117" s="261">
        <f>SUM(M117:O117)</f>
        <v>55.258279883860176</v>
      </c>
      <c r="M117" s="260">
        <f>('Pivot Table for Data Exchange'!$E$462)*100</f>
        <v>51.1753416118502</v>
      </c>
      <c r="N117" s="260">
        <f>('Pivot Table for Data Exchange'!$E$465)*100</f>
        <v>0</v>
      </c>
      <c r="O117" s="268">
        <f>('Pivot Table for Data Exchange'!$E$468)*100</f>
        <v>4.0829382720099732</v>
      </c>
      <c r="P117" s="260">
        <f>('Pivot Table for Data Exchange'!$E$471)*100</f>
        <v>2.7788258066632765</v>
      </c>
      <c r="Q117" s="265">
        <f t="shared" si="14"/>
        <v>100</v>
      </c>
      <c r="R117" s="265">
        <f t="shared" si="15"/>
        <v>100</v>
      </c>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row>
    <row r="118" spans="1:41" ht="15.75" customHeight="1">
      <c r="A118" s="231" t="s">
        <v>679</v>
      </c>
      <c r="B118" s="260">
        <f>('Pivot Table for Data Exchange'!$E$474)*100</f>
        <v>0</v>
      </c>
      <c r="C118" s="260">
        <f>('Pivot Table for Data Exchange'!$E$477)*100</f>
        <v>0</v>
      </c>
      <c r="D118" s="261">
        <f>SUM(E118:G118)</f>
        <v>0</v>
      </c>
      <c r="E118" s="260">
        <f>('Pivot Table for Data Exchange'!$E$480)*100</f>
        <v>0</v>
      </c>
      <c r="F118" s="260">
        <f>('Pivot Table for Data Exchange'!$E$483)*100</f>
        <v>0</v>
      </c>
      <c r="G118" s="268">
        <f>('Pivot Table for Data Exchange'!$E$486)*100</f>
        <v>0</v>
      </c>
      <c r="H118" s="260">
        <f>('Pivot Table for Data Exchange'!$E$489)*100</f>
        <v>0</v>
      </c>
      <c r="I118" s="266" t="s">
        <v>679</v>
      </c>
      <c r="J118" s="260">
        <f>('Pivot Table for Data Exchange'!$E$492)*100</f>
        <v>0</v>
      </c>
      <c r="K118" s="260">
        <f>('Pivot Table for Data Exchange'!$E$495)*100</f>
        <v>0</v>
      </c>
      <c r="L118" s="261">
        <f>SUM(M118:O118)</f>
        <v>0</v>
      </c>
      <c r="M118" s="260">
        <f>('Pivot Table for Data Exchange'!$E$498)*100</f>
        <v>0</v>
      </c>
      <c r="N118" s="260">
        <f>('Pivot Table for Data Exchange'!$E$501)*100</f>
        <v>0</v>
      </c>
      <c r="O118" s="268">
        <f>('Pivot Table for Data Exchange'!$E$504)*100</f>
        <v>0</v>
      </c>
      <c r="P118" s="260">
        <f>('Pivot Table for Data Exchange'!$E$507)*100</f>
        <v>0</v>
      </c>
      <c r="Q118" s="265">
        <f t="shared" si="14"/>
        <v>0</v>
      </c>
      <c r="R118" s="265">
        <f t="shared" si="15"/>
        <v>0</v>
      </c>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row>
    <row r="119" spans="1:41" ht="15.75" customHeight="1">
      <c r="A119" s="231" t="s">
        <v>680</v>
      </c>
      <c r="B119" s="260">
        <f>('Pivot Table for Data Exchange'!$E$510)*100</f>
        <v>89.097338684175668</v>
      </c>
      <c r="C119" s="260">
        <f>('Pivot Table for Data Exchange'!$E$513)*100</f>
        <v>1.4714364562621054</v>
      </c>
      <c r="D119" s="261">
        <f t="shared" ref="D119" si="28">SUM(E119:G119)</f>
        <v>9.4312248595622297</v>
      </c>
      <c r="E119" s="260">
        <f>('Pivot Table for Data Exchange'!$E$516)*100</f>
        <v>9.3568950534681345</v>
      </c>
      <c r="F119" s="260">
        <f>('Pivot Table for Data Exchange'!$E$519)*100</f>
        <v>7.4329806094095216E-2</v>
      </c>
      <c r="G119" s="268">
        <f>('Pivot Table for Data Exchange'!$E$522)*100</f>
        <v>0</v>
      </c>
      <c r="H119" s="260">
        <f>('Pivot Table for Data Exchange'!$E$525)*100</f>
        <v>0</v>
      </c>
      <c r="I119" s="266" t="s">
        <v>680</v>
      </c>
      <c r="J119" s="260">
        <f>('Pivot Table for Data Exchange'!$E$528)*100</f>
        <v>62.321163602369722</v>
      </c>
      <c r="K119" s="260">
        <f>('Pivot Table for Data Exchange'!$E$531)*100</f>
        <v>11.744940547715062</v>
      </c>
      <c r="L119" s="261">
        <f t="shared" ref="L119" si="29">SUM(M119:O119)</f>
        <v>25.933895849915228</v>
      </c>
      <c r="M119" s="260">
        <f>('Pivot Table for Data Exchange'!$E$534)*100</f>
        <v>23.591301644556253</v>
      </c>
      <c r="N119" s="260">
        <f>('Pivot Table for Data Exchange'!$E$537)*100</f>
        <v>2.3425942053589739</v>
      </c>
      <c r="O119" s="268">
        <f>('Pivot Table for Data Exchange'!$E$540)*100</f>
        <v>0</v>
      </c>
      <c r="P119" s="260">
        <f>('Pivot Table for Data Exchange'!$E$543)*100</f>
        <v>0</v>
      </c>
      <c r="Q119" s="265">
        <f t="shared" si="14"/>
        <v>100.00000000000001</v>
      </c>
      <c r="R119" s="265">
        <f t="shared" si="15"/>
        <v>100.00000000000001</v>
      </c>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row>
    <row r="120" spans="1:41" ht="15.75" customHeight="1">
      <c r="A120" s="237" t="s">
        <v>681</v>
      </c>
      <c r="B120" s="273">
        <f>('Pivot Table for Data Exchange'!$E$546)*100</f>
        <v>72.522633119375826</v>
      </c>
      <c r="C120" s="273">
        <f>('Pivot Table for Data Exchange'!$E$549)*100</f>
        <v>9.7683880698226382</v>
      </c>
      <c r="D120" s="274">
        <f>SUM(E120:G120)</f>
        <v>17.708978810801543</v>
      </c>
      <c r="E120" s="273">
        <f>('Pivot Table for Data Exchange'!$E$552)*100</f>
        <v>16.275970116098257</v>
      </c>
      <c r="F120" s="294">
        <f>('Pivot Table for Data Exchange'!$E$555)*100</f>
        <v>1.433008694703285</v>
      </c>
      <c r="G120" s="275">
        <f>('Pivot Table for Data Exchange'!$E$558)*100</f>
        <v>0</v>
      </c>
      <c r="H120" s="273">
        <f>('Pivot Table for Data Exchange'!$E$561)*100</f>
        <v>0</v>
      </c>
      <c r="I120" s="276" t="s">
        <v>681</v>
      </c>
      <c r="J120" s="273">
        <f>('Pivot Table for Data Exchange'!$E$564)*100</f>
        <v>51.809433850876673</v>
      </c>
      <c r="K120" s="273">
        <f>('Pivot Table for Data Exchange'!$E$567)*100</f>
        <v>16.057618513489579</v>
      </c>
      <c r="L120" s="274">
        <f>SUM(M120:O120)</f>
        <v>32.132947635633741</v>
      </c>
      <c r="M120" s="273">
        <f>('Pivot Table for Data Exchange'!$E$570)*100</f>
        <v>31.062931696085954</v>
      </c>
      <c r="N120" s="273">
        <f>('Pivot Table for Data Exchange'!$E$573)*100</f>
        <v>1.0700159395477891</v>
      </c>
      <c r="O120" s="275">
        <f>('Pivot Table for Data Exchange'!$E$576)*100</f>
        <v>0</v>
      </c>
      <c r="P120" s="273">
        <f>('Pivot Table for Data Exchange'!$E$579)*100</f>
        <v>0</v>
      </c>
      <c r="Q120" s="265">
        <f t="shared" si="14"/>
        <v>100</v>
      </c>
      <c r="R120" s="265">
        <f t="shared" si="15"/>
        <v>100</v>
      </c>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row>
    <row r="121" spans="1:41" s="278" customFormat="1" ht="12" customHeight="1">
      <c r="A121" s="279" t="s">
        <v>706</v>
      </c>
      <c r="B121" s="280"/>
      <c r="C121" s="280"/>
      <c r="D121" s="281"/>
      <c r="E121" s="280"/>
      <c r="F121" s="281"/>
      <c r="G121" s="281"/>
      <c r="H121" s="280"/>
      <c r="I121" s="279" t="s">
        <v>706</v>
      </c>
      <c r="J121" s="280"/>
      <c r="K121" s="280"/>
      <c r="L121" s="281"/>
      <c r="M121" s="280"/>
      <c r="N121" s="281"/>
      <c r="O121" s="281"/>
      <c r="P121" s="280"/>
      <c r="Q121" s="265"/>
      <c r="R121" s="265"/>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row>
    <row r="122" spans="1:41" s="278" customFormat="1" ht="28.5" customHeight="1">
      <c r="A122" s="490" t="s">
        <v>712</v>
      </c>
      <c r="B122" s="503"/>
      <c r="C122" s="503"/>
      <c r="D122" s="503"/>
      <c r="E122" s="503"/>
      <c r="F122" s="503"/>
      <c r="G122" s="503"/>
      <c r="H122" s="503"/>
      <c r="I122" s="490" t="s">
        <v>712</v>
      </c>
      <c r="J122" s="503"/>
      <c r="K122" s="503"/>
      <c r="L122" s="503"/>
      <c r="M122" s="503"/>
      <c r="N122" s="503"/>
      <c r="O122" s="503"/>
      <c r="P122" s="503"/>
      <c r="Q122" s="265"/>
      <c r="R122" s="265"/>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row>
    <row r="123" spans="1:41" s="278" customFormat="1" ht="13.5" customHeight="1">
      <c r="A123" s="289"/>
      <c r="B123" s="290"/>
      <c r="I123" s="289"/>
      <c r="P123" s="291"/>
      <c r="Q123" s="265"/>
      <c r="R123" s="265"/>
    </row>
    <row r="124" spans="1:41" s="278" customFormat="1" ht="13.5" customHeight="1">
      <c r="H124" s="284" t="s">
        <v>839</v>
      </c>
      <c r="I124" s="289"/>
      <c r="P124" s="284" t="s">
        <v>839</v>
      </c>
      <c r="Q124" s="265"/>
      <c r="R124" s="265"/>
    </row>
    <row r="125" spans="1:41" ht="18">
      <c r="A125" s="226" t="s">
        <v>713</v>
      </c>
      <c r="B125" s="227"/>
      <c r="C125" s="227"/>
      <c r="D125" s="227"/>
      <c r="E125" s="227"/>
      <c r="F125" s="227"/>
      <c r="G125" s="227"/>
      <c r="H125" s="227"/>
      <c r="I125" s="226" t="s">
        <v>714</v>
      </c>
      <c r="J125" s="228"/>
      <c r="K125" s="228"/>
      <c r="L125" s="227"/>
      <c r="M125" s="228"/>
      <c r="N125" s="228"/>
      <c r="O125" s="228"/>
      <c r="P125" s="228"/>
      <c r="Q125" s="265"/>
      <c r="R125" s="265"/>
    </row>
    <row r="126" spans="1:41" ht="13">
      <c r="A126" s="232"/>
      <c r="B126" s="228"/>
      <c r="C126" s="228"/>
      <c r="D126" s="228"/>
      <c r="E126" s="228"/>
      <c r="F126" s="228"/>
      <c r="G126" s="228"/>
      <c r="H126" s="228"/>
      <c r="I126" s="232"/>
      <c r="J126" s="228"/>
      <c r="K126" s="228"/>
      <c r="L126" s="228"/>
      <c r="M126" s="228"/>
      <c r="N126" s="228"/>
      <c r="O126" s="228"/>
      <c r="P126" s="228"/>
      <c r="Q126" s="265"/>
      <c r="R126" s="265"/>
    </row>
    <row r="127" spans="1:41" ht="15.5">
      <c r="A127" s="234" t="s">
        <v>687</v>
      </c>
      <c r="B127" s="228"/>
      <c r="C127" s="228"/>
      <c r="D127" s="228"/>
      <c r="E127" s="228"/>
      <c r="F127" s="228"/>
      <c r="G127" s="228"/>
      <c r="H127" s="228"/>
      <c r="I127" s="234" t="s">
        <v>688</v>
      </c>
      <c r="J127" s="228"/>
      <c r="K127" s="228"/>
      <c r="L127" s="228"/>
      <c r="M127" s="228"/>
      <c r="N127" s="228"/>
      <c r="O127" s="228"/>
      <c r="P127" s="228"/>
      <c r="Q127" s="265"/>
      <c r="R127" s="265"/>
    </row>
    <row r="128" spans="1:41" ht="15.5">
      <c r="A128" s="234" t="s">
        <v>768</v>
      </c>
      <c r="B128" s="228"/>
      <c r="C128" s="228"/>
      <c r="D128" s="228"/>
      <c r="E128" s="228"/>
      <c r="F128" s="228"/>
      <c r="G128" s="228"/>
      <c r="H128" s="228"/>
      <c r="I128" s="234" t="s">
        <v>768</v>
      </c>
      <c r="J128" s="228"/>
      <c r="K128" s="228"/>
      <c r="L128" s="228"/>
      <c r="M128" s="228"/>
      <c r="N128" s="228"/>
      <c r="O128" s="228"/>
      <c r="P128" s="228"/>
      <c r="Q128" s="265"/>
      <c r="R128" s="265"/>
    </row>
    <row r="129" spans="1:41">
      <c r="A129" s="237"/>
      <c r="B129" s="238"/>
      <c r="C129" s="238"/>
      <c r="D129" s="238"/>
      <c r="E129" s="238"/>
      <c r="F129" s="238"/>
      <c r="G129" s="238"/>
      <c r="H129" s="238"/>
      <c r="I129" s="239"/>
      <c r="L129" s="240"/>
      <c r="P129" s="237"/>
      <c r="Q129" s="265"/>
      <c r="R129" s="265"/>
    </row>
    <row r="130" spans="1:41" s="247" customFormat="1">
      <c r="A130" s="242"/>
      <c r="B130" s="243" t="s">
        <v>689</v>
      </c>
      <c r="C130" s="243"/>
      <c r="D130" s="243"/>
      <c r="E130" s="243"/>
      <c r="F130" s="243"/>
      <c r="G130" s="243"/>
      <c r="H130" s="244"/>
      <c r="I130" s="242"/>
      <c r="J130" s="243" t="s">
        <v>689</v>
      </c>
      <c r="K130" s="243"/>
      <c r="L130" s="243"/>
      <c r="M130" s="243"/>
      <c r="N130" s="243"/>
      <c r="O130" s="243"/>
      <c r="P130" s="244"/>
      <c r="Q130" s="265"/>
      <c r="R130" s="265"/>
    </row>
    <row r="131" spans="1:41" s="247" customFormat="1">
      <c r="A131" s="242"/>
      <c r="B131" s="243" t="s">
        <v>690</v>
      </c>
      <c r="C131" s="243"/>
      <c r="D131" s="485" t="s">
        <v>691</v>
      </c>
      <c r="E131" s="483"/>
      <c r="F131" s="483"/>
      <c r="G131" s="483"/>
      <c r="H131" s="250" t="s">
        <v>581</v>
      </c>
      <c r="I131" s="242"/>
      <c r="J131" s="243" t="s">
        <v>690</v>
      </c>
      <c r="K131" s="243"/>
      <c r="L131" s="485" t="s">
        <v>691</v>
      </c>
      <c r="M131" s="483"/>
      <c r="N131" s="483"/>
      <c r="O131" s="483"/>
      <c r="P131" s="250" t="s">
        <v>581</v>
      </c>
      <c r="Q131" s="265"/>
      <c r="R131" s="265"/>
    </row>
    <row r="132" spans="1:41" s="247" customFormat="1" ht="40.5" customHeight="1">
      <c r="A132" s="242"/>
      <c r="B132" s="251" t="s">
        <v>692</v>
      </c>
      <c r="C132" s="252" t="s">
        <v>693</v>
      </c>
      <c r="D132" s="253" t="s">
        <v>694</v>
      </c>
      <c r="E132" s="254" t="s">
        <v>8</v>
      </c>
      <c r="F132" s="251" t="s">
        <v>695</v>
      </c>
      <c r="G132" s="255" t="s">
        <v>704</v>
      </c>
      <c r="H132" s="256" t="s">
        <v>697</v>
      </c>
      <c r="I132" s="242"/>
      <c r="J132" s="251" t="s">
        <v>692</v>
      </c>
      <c r="K132" s="252" t="s">
        <v>693</v>
      </c>
      <c r="L132" s="253" t="s">
        <v>694</v>
      </c>
      <c r="M132" s="254" t="s">
        <v>8</v>
      </c>
      <c r="N132" s="251" t="s">
        <v>695</v>
      </c>
      <c r="O132" s="255" t="s">
        <v>704</v>
      </c>
      <c r="P132" s="256" t="s">
        <v>697</v>
      </c>
      <c r="Q132" s="265"/>
      <c r="R132" s="265"/>
      <c r="T132" s="285"/>
    </row>
    <row r="133" spans="1:41" ht="15.75" customHeight="1">
      <c r="A133" s="286" t="s">
        <v>666</v>
      </c>
      <c r="B133" s="260">
        <f>('Pivot Table for Data Exchange'!$F$6)*100</f>
        <v>80.153729520279654</v>
      </c>
      <c r="C133" s="260">
        <f>('Pivot Table for Data Exchange'!$F$9)*100</f>
        <v>0.18700248494293054</v>
      </c>
      <c r="D133" s="261">
        <f>SUM(E133:G133)</f>
        <v>19.659267994777409</v>
      </c>
      <c r="E133" s="260">
        <f>('Pivot Table for Data Exchange'!$F$12)*100</f>
        <v>19.659267994777409</v>
      </c>
      <c r="F133" s="260">
        <f>('Pivot Table for Data Exchange'!$F$15)*100</f>
        <v>0</v>
      </c>
      <c r="G133" s="264">
        <f>('Pivot Table for Data Exchange'!$F$18)*100</f>
        <v>0</v>
      </c>
      <c r="H133" s="260">
        <f>('Pivot Table for Data Exchange'!$F$21)*100</f>
        <v>0</v>
      </c>
      <c r="I133" s="263" t="s">
        <v>666</v>
      </c>
      <c r="J133" s="260">
        <f>('Pivot Table for Data Exchange'!$F$24)*100</f>
        <v>62.74654618124945</v>
      </c>
      <c r="K133" s="260">
        <f>('Pivot Table for Data Exchange'!$F$27)*100</f>
        <v>0.19549917455904076</v>
      </c>
      <c r="L133" s="261">
        <f>SUM(M133:O133)</f>
        <v>37.057954644191504</v>
      </c>
      <c r="M133" s="260">
        <f>('Pivot Table for Data Exchange'!$F$30)*100</f>
        <v>37.057954644191504</v>
      </c>
      <c r="N133" s="260">
        <f>('Pivot Table for Data Exchange'!$F$33)*100</f>
        <v>0</v>
      </c>
      <c r="O133" s="264">
        <f>('Pivot Table for Data Exchange'!$F$36)*100</f>
        <v>0</v>
      </c>
      <c r="P133" s="260">
        <f>('Pivot Table for Data Exchange'!$F$39)*100</f>
        <v>0</v>
      </c>
      <c r="Q133" s="265">
        <f t="shared" si="14"/>
        <v>100</v>
      </c>
      <c r="R133" s="265">
        <f t="shared" si="15"/>
        <v>100</v>
      </c>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row>
    <row r="134" spans="1:41" ht="15.75" customHeight="1">
      <c r="A134" s="231" t="s">
        <v>667</v>
      </c>
      <c r="B134" s="260">
        <f>('Pivot Table for Data Exchange'!$F$42)*100</f>
        <v>73.255575304855611</v>
      </c>
      <c r="C134" s="260">
        <f>('Pivot Table for Data Exchange'!$F$45)*100</f>
        <v>5.6374570646344244</v>
      </c>
      <c r="D134" s="261">
        <f t="shared" ref="D134:D136" si="30">SUM(E134:G134)</f>
        <v>20.818472953139946</v>
      </c>
      <c r="E134" s="260">
        <f>('Pivot Table for Data Exchange'!$F$48)*100</f>
        <v>20.817311229606911</v>
      </c>
      <c r="F134" s="260">
        <f>('Pivot Table for Data Exchange'!$F$51)*100</f>
        <v>1.1617235330336087E-3</v>
      </c>
      <c r="G134" s="268">
        <f>('Pivot Table for Data Exchange'!$F$54)*100</f>
        <v>0</v>
      </c>
      <c r="H134" s="260">
        <f>('Pivot Table for Data Exchange'!$F$57)*100</f>
        <v>0.28849467737001283</v>
      </c>
      <c r="I134" s="266" t="s">
        <v>667</v>
      </c>
      <c r="J134" s="260">
        <f>('Pivot Table for Data Exchange'!$F$60)*100</f>
        <v>15.043516930309384</v>
      </c>
      <c r="K134" s="260">
        <f>('Pivot Table for Data Exchange'!$F$63)*100</f>
        <v>8.2078648116383963</v>
      </c>
      <c r="L134" s="261">
        <f t="shared" ref="L134:L136" si="31">SUM(M134:O134)</f>
        <v>76.720030493615397</v>
      </c>
      <c r="M134" s="260">
        <f>('Pivot Table for Data Exchange'!$F$66)*100</f>
        <v>76.720030493615397</v>
      </c>
      <c r="N134" s="260">
        <f>('Pivot Table for Data Exchange'!$F$69)*100</f>
        <v>0</v>
      </c>
      <c r="O134" s="268">
        <f>('Pivot Table for Data Exchange'!$F$72)*100</f>
        <v>0</v>
      </c>
      <c r="P134" s="260">
        <f>('Pivot Table for Data Exchange'!$F$75)*100</f>
        <v>2.8587764436821039E-2</v>
      </c>
      <c r="Q134" s="265">
        <f t="shared" si="14"/>
        <v>99.999999999999986</v>
      </c>
      <c r="R134" s="265">
        <f t="shared" si="15"/>
        <v>100</v>
      </c>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row>
    <row r="135" spans="1:41" ht="15.75" customHeight="1">
      <c r="A135" s="231" t="s">
        <v>668</v>
      </c>
      <c r="B135" s="260">
        <f>('Pivot Table for Data Exchange'!$F$78)*100</f>
        <v>0</v>
      </c>
      <c r="C135" s="260">
        <f>('Pivot Table for Data Exchange'!$F$81)*100</f>
        <v>0</v>
      </c>
      <c r="D135" s="261">
        <f t="shared" si="30"/>
        <v>0</v>
      </c>
      <c r="E135" s="260">
        <f>('Pivot Table for Data Exchange'!$F$84)*100</f>
        <v>0</v>
      </c>
      <c r="F135" s="260">
        <f>('Pivot Table for Data Exchange'!$F$87)*100</f>
        <v>0</v>
      </c>
      <c r="G135" s="268">
        <f>('Pivot Table for Data Exchange'!$F$90)*100</f>
        <v>0</v>
      </c>
      <c r="H135" s="260">
        <f>('Pivot Table for Data Exchange'!$F$93)*100</f>
        <v>0</v>
      </c>
      <c r="I135" s="266" t="s">
        <v>668</v>
      </c>
      <c r="J135" s="260">
        <f>('Pivot Table for Data Exchange'!$F$96)*100</f>
        <v>0</v>
      </c>
      <c r="K135" s="260">
        <f>('Pivot Table for Data Exchange'!$F$99)*100</f>
        <v>0</v>
      </c>
      <c r="L135" s="261">
        <f t="shared" si="31"/>
        <v>0</v>
      </c>
      <c r="M135" s="260">
        <f>('Pivot Table for Data Exchange'!$F$102)*100</f>
        <v>0</v>
      </c>
      <c r="N135" s="260">
        <f>('Pivot Table for Data Exchange'!$F$105)*100</f>
        <v>0</v>
      </c>
      <c r="O135" s="268">
        <f>('Pivot Table for Data Exchange'!$F$108)*100</f>
        <v>0</v>
      </c>
      <c r="P135" s="260">
        <f>('Pivot Table for Data Exchange'!$F$111)*100</f>
        <v>0</v>
      </c>
      <c r="Q135" s="265">
        <f t="shared" si="14"/>
        <v>0</v>
      </c>
      <c r="R135" s="265">
        <f t="shared" si="15"/>
        <v>0</v>
      </c>
      <c r="S135" s="266"/>
      <c r="T135" s="240"/>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row>
    <row r="136" spans="1:41" ht="15.75" customHeight="1">
      <c r="A136" s="231" t="s">
        <v>705</v>
      </c>
      <c r="B136" s="260">
        <f>('Pivot Table for Data Exchange'!$F$114)*100</f>
        <v>0</v>
      </c>
      <c r="C136" s="260">
        <f>('Pivot Table for Data Exchange'!$F$117)*100</f>
        <v>0</v>
      </c>
      <c r="D136" s="261">
        <f t="shared" si="30"/>
        <v>0</v>
      </c>
      <c r="E136" s="260">
        <f>('Pivot Table for Data Exchange'!$F$120)*100</f>
        <v>0</v>
      </c>
      <c r="F136" s="269">
        <f>('Pivot Table for Data Exchange'!$F$123)*100</f>
        <v>0</v>
      </c>
      <c r="G136" s="271">
        <f>('Pivot Table for Data Exchange'!$F$126)*100</f>
        <v>0</v>
      </c>
      <c r="H136" s="260">
        <f>('Pivot Table for Data Exchange'!$F$129)*100</f>
        <v>0</v>
      </c>
      <c r="I136" s="266" t="s">
        <v>705</v>
      </c>
      <c r="J136" s="260">
        <f>('Pivot Table for Data Exchange'!$F$132)*100</f>
        <v>0</v>
      </c>
      <c r="K136" s="260">
        <f>('Pivot Table for Data Exchange'!$F$135)*100</f>
        <v>0</v>
      </c>
      <c r="L136" s="261">
        <f t="shared" si="31"/>
        <v>0</v>
      </c>
      <c r="M136" s="260">
        <f>('Pivot Table for Data Exchange'!$F$138)*100</f>
        <v>0</v>
      </c>
      <c r="N136" s="260">
        <f>('Pivot Table for Data Exchange'!$F$141)*100</f>
        <v>0</v>
      </c>
      <c r="O136" s="268">
        <f>('Pivot Table for Data Exchange'!$F$144)*100</f>
        <v>0</v>
      </c>
      <c r="P136" s="260">
        <f>('Pivot Table for Data Exchange'!$F$147)*100</f>
        <v>0</v>
      </c>
      <c r="Q136" s="265">
        <f t="shared" si="14"/>
        <v>0</v>
      </c>
      <c r="R136" s="265">
        <f t="shared" si="15"/>
        <v>0</v>
      </c>
      <c r="S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row>
    <row r="137" spans="1:41" ht="15.75" customHeight="1">
      <c r="B137" s="260"/>
      <c r="C137" s="260"/>
      <c r="D137" s="261"/>
      <c r="E137" s="260"/>
      <c r="F137" s="260"/>
      <c r="G137" s="268"/>
      <c r="H137" s="260"/>
      <c r="I137" s="266"/>
      <c r="J137" s="260"/>
      <c r="K137" s="260"/>
      <c r="L137" s="261"/>
      <c r="M137" s="260"/>
      <c r="N137" s="260"/>
      <c r="O137" s="268"/>
      <c r="P137" s="260"/>
      <c r="Q137" s="265">
        <f t="shared" si="14"/>
        <v>0</v>
      </c>
      <c r="R137" s="265">
        <f t="shared" si="15"/>
        <v>0</v>
      </c>
      <c r="S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row>
    <row r="138" spans="1:41" ht="15.75" customHeight="1">
      <c r="A138" s="231" t="s">
        <v>670</v>
      </c>
      <c r="B138" s="260">
        <f>('Pivot Table for Data Exchange'!$F$150)*100</f>
        <v>79.196318884875595</v>
      </c>
      <c r="C138" s="260">
        <f>('Pivot Table for Data Exchange'!$F$153)*100</f>
        <v>1.680136757308941</v>
      </c>
      <c r="D138" s="261">
        <f t="shared" ref="D138:D141" si="32">SUM(E138:G138)</f>
        <v>19.123544357815469</v>
      </c>
      <c r="E138" s="260">
        <f>('Pivot Table for Data Exchange'!$F$156)*100</f>
        <v>19.022781823780459</v>
      </c>
      <c r="F138" s="260">
        <f>('Pivot Table for Data Exchange'!$F$159)*100</f>
        <v>8.5633881616153981E-3</v>
      </c>
      <c r="G138" s="268">
        <f>('Pivot Table for Data Exchange'!$F$162)*100</f>
        <v>9.2199145873392452E-2</v>
      </c>
      <c r="H138" s="260">
        <f>('Pivot Table for Data Exchange'!$F$165)*100</f>
        <v>0</v>
      </c>
      <c r="I138" s="266" t="s">
        <v>670</v>
      </c>
      <c r="J138" s="260">
        <f>('Pivot Table for Data Exchange'!$F$168)*100</f>
        <v>73.141198631851751</v>
      </c>
      <c r="K138" s="260">
        <f>('Pivot Table for Data Exchange'!$F$171)*100</f>
        <v>5.7802709707049829</v>
      </c>
      <c r="L138" s="261">
        <f t="shared" ref="L138:L141" si="33">SUM(M138:O138)</f>
        <v>21.07853039744327</v>
      </c>
      <c r="M138" s="260">
        <f>('Pivot Table for Data Exchange'!$F$174)*100</f>
        <v>21.057811342646549</v>
      </c>
      <c r="N138" s="260">
        <f>('Pivot Table for Data Exchange'!$F$177)*100</f>
        <v>0</v>
      </c>
      <c r="O138" s="268">
        <f>('Pivot Table for Data Exchange'!$F$180)*100</f>
        <v>2.0719054796720173E-2</v>
      </c>
      <c r="P138" s="260">
        <f>('Pivot Table for Data Exchange'!$F$183)*100</f>
        <v>0</v>
      </c>
      <c r="Q138" s="265">
        <f t="shared" si="14"/>
        <v>100</v>
      </c>
      <c r="R138" s="265">
        <f t="shared" si="15"/>
        <v>100</v>
      </c>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row>
    <row r="139" spans="1:41" ht="15.75" customHeight="1">
      <c r="A139" s="231" t="s">
        <v>671</v>
      </c>
      <c r="B139" s="260">
        <f>('Pivot Table for Data Exchange'!$F$186)*100</f>
        <v>70.110794409709456</v>
      </c>
      <c r="C139" s="260">
        <f>('Pivot Table for Data Exchange'!$F$189)*100</f>
        <v>0</v>
      </c>
      <c r="D139" s="261">
        <f t="shared" si="32"/>
        <v>29.889205590290548</v>
      </c>
      <c r="E139" s="260">
        <f>('Pivot Table for Data Exchange'!$F$192)*100</f>
        <v>29.886906951084956</v>
      </c>
      <c r="F139" s="260">
        <f>('Pivot Table for Data Exchange'!$F$195)*100</f>
        <v>2.2986392055902908E-3</v>
      </c>
      <c r="G139" s="271">
        <f>('Pivot Table for Data Exchange'!$F$198)*100</f>
        <v>0</v>
      </c>
      <c r="H139" s="260">
        <f>('Pivot Table for Data Exchange'!$F$201)*100</f>
        <v>0</v>
      </c>
      <c r="I139" s="266" t="s">
        <v>671</v>
      </c>
      <c r="J139" s="260">
        <f>('Pivot Table for Data Exchange'!$F$204)*100</f>
        <v>79.310344827586206</v>
      </c>
      <c r="K139" s="260">
        <f>('Pivot Table for Data Exchange'!$F$207)*100</f>
        <v>0</v>
      </c>
      <c r="L139" s="261">
        <f t="shared" si="33"/>
        <v>20.689655172413794</v>
      </c>
      <c r="M139" s="260">
        <f>('Pivot Table for Data Exchange'!$F$210)*100</f>
        <v>20.689655172413794</v>
      </c>
      <c r="N139" s="260">
        <f>('Pivot Table for Data Exchange'!$F$213)*100</f>
        <v>0</v>
      </c>
      <c r="O139" s="268">
        <f>('Pivot Table for Data Exchange'!$F$216)*100</f>
        <v>0</v>
      </c>
      <c r="P139" s="260">
        <f>('Pivot Table for Data Exchange'!$F$219)*100</f>
        <v>0</v>
      </c>
      <c r="Q139" s="265">
        <f t="shared" ref="Q139:Q202" si="34">SUM(B139,C139,D139,H139)</f>
        <v>100</v>
      </c>
      <c r="R139" s="265">
        <f t="shared" ref="R139:R202" si="35">SUM(J139,K139,L139,P139)</f>
        <v>100</v>
      </c>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row>
    <row r="140" spans="1:41" ht="15.75" customHeight="1">
      <c r="A140" s="231" t="s">
        <v>672</v>
      </c>
      <c r="B140" s="260">
        <f>('Pivot Table for Data Exchange'!$F$222)*100</f>
        <v>72.404022869385216</v>
      </c>
      <c r="C140" s="260">
        <f>('Pivot Table for Data Exchange'!$F$225)*100</f>
        <v>0</v>
      </c>
      <c r="D140" s="261">
        <f t="shared" si="32"/>
        <v>27.595977130614802</v>
      </c>
      <c r="E140" s="260">
        <f>('Pivot Table for Data Exchange'!$F$228)*100</f>
        <v>27.595977130614802</v>
      </c>
      <c r="F140" s="260">
        <f>('Pivot Table for Data Exchange'!$F$231)*100</f>
        <v>0</v>
      </c>
      <c r="G140" s="268">
        <f>('Pivot Table for Data Exchange'!$F$234)*100</f>
        <v>0</v>
      </c>
      <c r="H140" s="260">
        <f>('Pivot Table for Data Exchange'!$F$237)*100</f>
        <v>0</v>
      </c>
      <c r="I140" s="266" t="s">
        <v>672</v>
      </c>
      <c r="J140" s="260">
        <f>('Pivot Table for Data Exchange'!$F$240)*100</f>
        <v>44.201611940657131</v>
      </c>
      <c r="K140" s="260">
        <f>('Pivot Table for Data Exchange'!$F$243)*100</f>
        <v>0</v>
      </c>
      <c r="L140" s="261">
        <f t="shared" si="33"/>
        <v>55.798388059342876</v>
      </c>
      <c r="M140" s="260">
        <f>('Pivot Table for Data Exchange'!$F$246)*100</f>
        <v>55.798388059342876</v>
      </c>
      <c r="N140" s="260">
        <f>('Pivot Table for Data Exchange'!$F$249)*100</f>
        <v>0</v>
      </c>
      <c r="O140" s="268">
        <f>('Pivot Table for Data Exchange'!$F$252)*100</f>
        <v>0</v>
      </c>
      <c r="P140" s="260">
        <f>('Pivot Table for Data Exchange'!$F$255)*100</f>
        <v>0</v>
      </c>
      <c r="Q140" s="265">
        <f t="shared" si="34"/>
        <v>100.00000000000001</v>
      </c>
      <c r="R140" s="265">
        <f t="shared" si="35"/>
        <v>100</v>
      </c>
      <c r="S140" s="266"/>
      <c r="T140" s="240"/>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row>
    <row r="141" spans="1:41" ht="15.75" customHeight="1">
      <c r="A141" s="231" t="s">
        <v>673</v>
      </c>
      <c r="B141" s="260">
        <f>('Pivot Table for Data Exchange'!$F$258)*100</f>
        <v>81.469693492474065</v>
      </c>
      <c r="C141" s="260">
        <f>('Pivot Table for Data Exchange'!$F$261)*100</f>
        <v>1.2574866831513176</v>
      </c>
      <c r="D141" s="261">
        <f t="shared" si="32"/>
        <v>17.272819824374622</v>
      </c>
      <c r="E141" s="260">
        <f>('Pivot Table for Data Exchange'!$F$264)*100</f>
        <v>16.101696377575582</v>
      </c>
      <c r="F141" s="260">
        <f>('Pivot Table for Data Exchange'!$F$267)*100</f>
        <v>1.1711234467990386</v>
      </c>
      <c r="G141" s="268">
        <f>('Pivot Table for Data Exchange'!$F$270)*100</f>
        <v>0</v>
      </c>
      <c r="H141" s="260">
        <f>('Pivot Table for Data Exchange'!$F$273)*100</f>
        <v>0</v>
      </c>
      <c r="I141" s="266" t="s">
        <v>673</v>
      </c>
      <c r="J141" s="260">
        <f>('Pivot Table for Data Exchange'!$F$276)*100</f>
        <v>60.567498304726506</v>
      </c>
      <c r="K141" s="260">
        <f>('Pivot Table for Data Exchange'!$F$279)*100</f>
        <v>1.4425236237461581</v>
      </c>
      <c r="L141" s="261">
        <f t="shared" si="33"/>
        <v>37.989978071527332</v>
      </c>
      <c r="M141" s="260">
        <f>('Pivot Table for Data Exchange'!$F$282)*100</f>
        <v>32.034944650421401</v>
      </c>
      <c r="N141" s="260">
        <f>('Pivot Table for Data Exchange'!$F$285)*100</f>
        <v>5.9550334211059344</v>
      </c>
      <c r="O141" s="268">
        <f>('Pivot Table for Data Exchange'!$F$288)*100</f>
        <v>0</v>
      </c>
      <c r="P141" s="260">
        <f>('Pivot Table for Data Exchange'!$F$291)*100</f>
        <v>0</v>
      </c>
      <c r="Q141" s="265">
        <f t="shared" si="34"/>
        <v>100</v>
      </c>
      <c r="R141" s="265">
        <f t="shared" si="35"/>
        <v>100</v>
      </c>
      <c r="S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row>
    <row r="142" spans="1:41" ht="15.75" customHeight="1">
      <c r="B142" s="260"/>
      <c r="C142" s="260"/>
      <c r="D142" s="261"/>
      <c r="E142" s="260"/>
      <c r="F142" s="260"/>
      <c r="G142" s="268"/>
      <c r="H142" s="260"/>
      <c r="I142" s="266"/>
      <c r="J142" s="260"/>
      <c r="K142" s="260"/>
      <c r="L142" s="261"/>
      <c r="M142" s="260"/>
      <c r="N142" s="260"/>
      <c r="O142" s="268"/>
      <c r="P142" s="260"/>
      <c r="Q142" s="265">
        <f t="shared" si="34"/>
        <v>0</v>
      </c>
      <c r="R142" s="265">
        <f t="shared" si="35"/>
        <v>0</v>
      </c>
      <c r="S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row>
    <row r="143" spans="1:41" ht="15.75" customHeight="1">
      <c r="A143" s="231" t="s">
        <v>674</v>
      </c>
      <c r="B143" s="260">
        <f>('Pivot Table for Data Exchange'!$F$294)*100</f>
        <v>65.5524582906787</v>
      </c>
      <c r="C143" s="260">
        <f>('Pivot Table for Data Exchange'!$F$297)*100</f>
        <v>2.8857593448247241</v>
      </c>
      <c r="D143" s="261">
        <f t="shared" ref="D143:D145" si="36">SUM(E143:G143)</f>
        <v>31.252593863265364</v>
      </c>
      <c r="E143" s="260">
        <f>('Pivot Table for Data Exchange'!$F$300)*100</f>
        <v>31.248443682040783</v>
      </c>
      <c r="F143" s="260">
        <f>('Pivot Table for Data Exchange'!$F$303)*100</f>
        <v>0</v>
      </c>
      <c r="G143" s="267">
        <f>('Pivot Table for Data Exchange'!$F$306)*100</f>
        <v>4.1501812245801403E-3</v>
      </c>
      <c r="H143" s="260">
        <f>('Pivot Table for Data Exchange'!$F$309)*100</f>
        <v>0.30918850123122044</v>
      </c>
      <c r="I143" s="266" t="s">
        <v>674</v>
      </c>
      <c r="J143" s="260">
        <f>('Pivot Table for Data Exchange'!$F$312)*100</f>
        <v>23.991985975457052</v>
      </c>
      <c r="K143" s="260">
        <f>('Pivot Table for Data Exchange'!$F$315)*100</f>
        <v>0.67618332081141996</v>
      </c>
      <c r="L143" s="261">
        <f t="shared" ref="L143:L145" si="37">SUM(M143:O143)</f>
        <v>75.128975707488109</v>
      </c>
      <c r="M143" s="260">
        <f>('Pivot Table for Data Exchange'!$F$318)*100</f>
        <v>75.061357375406971</v>
      </c>
      <c r="N143" s="260">
        <f>('Pivot Table for Data Exchange'!$F$321)*100</f>
        <v>0</v>
      </c>
      <c r="O143" s="268">
        <f>('Pivot Table for Data Exchange'!$F$324)*100</f>
        <v>6.7618332081141999E-2</v>
      </c>
      <c r="P143" s="260">
        <f>('Pivot Table for Data Exchange'!$F$327)*100</f>
        <v>0.20285499624342601</v>
      </c>
      <c r="Q143" s="265">
        <f t="shared" si="34"/>
        <v>100</v>
      </c>
      <c r="R143" s="265">
        <f t="shared" si="35"/>
        <v>100.00000000000001</v>
      </c>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row>
    <row r="144" spans="1:41" ht="15.75" customHeight="1">
      <c r="A144" s="231" t="s">
        <v>675</v>
      </c>
      <c r="B144" s="260">
        <f>('Pivot Table for Data Exchange'!$F$330)*100</f>
        <v>60.647028096992358</v>
      </c>
      <c r="C144" s="260">
        <f>('Pivot Table for Data Exchange'!$F$333)*100</f>
        <v>0.61582449002034423</v>
      </c>
      <c r="D144" s="261">
        <f t="shared" si="36"/>
        <v>38.737147412987298</v>
      </c>
      <c r="E144" s="260">
        <f>('Pivot Table for Data Exchange'!$F$336)*100</f>
        <v>38.737147412987298</v>
      </c>
      <c r="F144" s="260">
        <f>('Pivot Table for Data Exchange'!$F$339)*100</f>
        <v>0</v>
      </c>
      <c r="G144" s="271">
        <f>('Pivot Table for Data Exchange'!$F$342)*100</f>
        <v>0</v>
      </c>
      <c r="H144" s="260">
        <f>('Pivot Table for Data Exchange'!$F$345)*100</f>
        <v>0</v>
      </c>
      <c r="I144" s="266" t="s">
        <v>675</v>
      </c>
      <c r="J144" s="260">
        <f>('Pivot Table for Data Exchange'!$F$348)*100</f>
        <v>34.397847979031596</v>
      </c>
      <c r="K144" s="260">
        <f>('Pivot Table for Data Exchange'!$F$351)*100</f>
        <v>1.2277555524899986</v>
      </c>
      <c r="L144" s="261">
        <f t="shared" si="37"/>
        <v>64.374396468478409</v>
      </c>
      <c r="M144" s="260">
        <f>('Pivot Table for Data Exchange'!$F$354)*100</f>
        <v>64.374396468478409</v>
      </c>
      <c r="N144" s="260">
        <f>('Pivot Table for Data Exchange'!$F$357)*100</f>
        <v>0</v>
      </c>
      <c r="O144" s="268">
        <f>('Pivot Table for Data Exchange'!$F$360)*100</f>
        <v>0</v>
      </c>
      <c r="P144" s="260">
        <f>('Pivot Table for Data Exchange'!$F$363)*100</f>
        <v>0</v>
      </c>
      <c r="Q144" s="265">
        <f t="shared" si="34"/>
        <v>100</v>
      </c>
      <c r="R144" s="265">
        <f t="shared" si="35"/>
        <v>100</v>
      </c>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row>
    <row r="145" spans="1:41" ht="15.75" customHeight="1">
      <c r="A145" s="231" t="s">
        <v>676</v>
      </c>
      <c r="B145" s="260">
        <f>('Pivot Table for Data Exchange'!$F$366)*100</f>
        <v>66.235951738933608</v>
      </c>
      <c r="C145" s="260">
        <f>('Pivot Table for Data Exchange'!$F$369)*100</f>
        <v>1.0185604345857853</v>
      </c>
      <c r="D145" s="261">
        <f t="shared" si="36"/>
        <v>32.745487826480598</v>
      </c>
      <c r="E145" s="260">
        <f>('Pivot Table for Data Exchange'!$F$372)*100</f>
        <v>31.570452890349753</v>
      </c>
      <c r="F145" s="260">
        <f>('Pivot Table for Data Exchange'!$F$375)*100</f>
        <v>0.69577026787647367</v>
      </c>
      <c r="G145" s="268">
        <f>('Pivot Table for Data Exchange'!$F$378)*100</f>
        <v>0.47926466825437442</v>
      </c>
      <c r="H145" s="260">
        <f>('Pivot Table for Data Exchange'!$F$381)*100</f>
        <v>0</v>
      </c>
      <c r="I145" s="266" t="s">
        <v>676</v>
      </c>
      <c r="J145" s="260">
        <f>('Pivot Table for Data Exchange'!$F$384)*100</f>
        <v>23.936001689724364</v>
      </c>
      <c r="K145" s="260">
        <f>('Pivot Table for Data Exchange'!$F$387)*100</f>
        <v>2.5425071285246594</v>
      </c>
      <c r="L145" s="261">
        <f t="shared" si="37"/>
        <v>73.521491181750989</v>
      </c>
      <c r="M145" s="260">
        <f>('Pivot Table for Data Exchange'!$F$390)*100</f>
        <v>73.513570598796079</v>
      </c>
      <c r="N145" s="260">
        <f>('Pivot Table for Data Exchange'!$F$393)*100</f>
        <v>7.9205829549054817E-3</v>
      </c>
      <c r="O145" s="268">
        <f>('Pivot Table for Data Exchange'!$F$396)*100</f>
        <v>0</v>
      </c>
      <c r="P145" s="260">
        <f>('Pivot Table for Data Exchange'!$F$399)*100</f>
        <v>0</v>
      </c>
      <c r="Q145" s="265">
        <f t="shared" si="34"/>
        <v>99.999999999999986</v>
      </c>
      <c r="R145" s="265">
        <f t="shared" si="35"/>
        <v>100.00000000000001</v>
      </c>
      <c r="S145" s="266"/>
      <c r="T145" s="240"/>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row>
    <row r="146" spans="1:41" ht="15.75" customHeight="1">
      <c r="A146" s="231" t="s">
        <v>677</v>
      </c>
      <c r="B146" s="260">
        <f>('Pivot Table for Data Exchange'!$F$402)*100</f>
        <v>81.780675114442133</v>
      </c>
      <c r="C146" s="260">
        <f>('Pivot Table for Data Exchange'!$F$405)*100</f>
        <v>0.86623366396296775</v>
      </c>
      <c r="D146" s="261">
        <f>SUM(E146:G146)</f>
        <v>17.353091221594894</v>
      </c>
      <c r="E146" s="260">
        <f>('Pivot Table for Data Exchange'!$F$408)*100</f>
        <v>17.353091221594894</v>
      </c>
      <c r="F146" s="260">
        <f>('Pivot Table for Data Exchange'!$F$411)*100</f>
        <v>0</v>
      </c>
      <c r="G146" s="268">
        <f>('Pivot Table for Data Exchange'!$F$414)*100</f>
        <v>0</v>
      </c>
      <c r="H146" s="260">
        <f>('Pivot Table for Data Exchange'!$F$417)*100</f>
        <v>0</v>
      </c>
      <c r="I146" s="266" t="s">
        <v>677</v>
      </c>
      <c r="J146" s="260">
        <f>('Pivot Table for Data Exchange'!$F$420)*100</f>
        <v>36.617142857142859</v>
      </c>
      <c r="K146" s="260">
        <f>('Pivot Table for Data Exchange'!$F$423)*100</f>
        <v>9.5542857142857134</v>
      </c>
      <c r="L146" s="261">
        <f>SUM(M146:O146)</f>
        <v>53.828571428571422</v>
      </c>
      <c r="M146" s="260">
        <f>('Pivot Table for Data Exchange'!$F$426)*100</f>
        <v>53.828571428571422</v>
      </c>
      <c r="N146" s="260">
        <f>('Pivot Table for Data Exchange'!$F$429)*100</f>
        <v>0</v>
      </c>
      <c r="O146" s="268">
        <f>('Pivot Table for Data Exchange'!$F$432)*100</f>
        <v>0</v>
      </c>
      <c r="P146" s="260">
        <f>('Pivot Table for Data Exchange'!$F$435)*100</f>
        <v>0</v>
      </c>
      <c r="Q146" s="265">
        <f t="shared" si="34"/>
        <v>100</v>
      </c>
      <c r="R146" s="265">
        <f t="shared" si="35"/>
        <v>100</v>
      </c>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row>
    <row r="147" spans="1:41" ht="15.75" customHeight="1">
      <c r="B147" s="260"/>
      <c r="C147" s="260"/>
      <c r="D147" s="261"/>
      <c r="E147" s="260"/>
      <c r="F147" s="260"/>
      <c r="G147" s="268"/>
      <c r="H147" s="260"/>
      <c r="I147" s="266"/>
      <c r="J147" s="260"/>
      <c r="K147" s="260"/>
      <c r="L147" s="261"/>
      <c r="M147" s="260"/>
      <c r="N147" s="260"/>
      <c r="O147" s="268"/>
      <c r="P147" s="260"/>
      <c r="Q147" s="265">
        <f t="shared" si="34"/>
        <v>0</v>
      </c>
      <c r="R147" s="265">
        <f t="shared" si="35"/>
        <v>0</v>
      </c>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row>
    <row r="148" spans="1:41" ht="15.75" customHeight="1">
      <c r="A148" s="231" t="s">
        <v>678</v>
      </c>
      <c r="B148" s="260">
        <f>('Pivot Table for Data Exchange'!$F$438)*100</f>
        <v>0</v>
      </c>
      <c r="C148" s="260">
        <f>('Pivot Table for Data Exchange'!$F$441)*100</f>
        <v>0</v>
      </c>
      <c r="D148" s="261">
        <f>SUM(E148:G148)</f>
        <v>0</v>
      </c>
      <c r="E148" s="260">
        <f>('Pivot Table for Data Exchange'!$F$444)*100</f>
        <v>0</v>
      </c>
      <c r="F148" s="260">
        <f>('Pivot Table for Data Exchange'!$F$447)*100</f>
        <v>0</v>
      </c>
      <c r="G148" s="268">
        <f>('Pivot Table for Data Exchange'!$F$450)*100</f>
        <v>0</v>
      </c>
      <c r="H148" s="260">
        <f>('Pivot Table for Data Exchange'!$F$453)*100</f>
        <v>0</v>
      </c>
      <c r="I148" s="266" t="s">
        <v>678</v>
      </c>
      <c r="J148" s="260">
        <f>('Pivot Table for Data Exchange'!$F$456)*100</f>
        <v>0</v>
      </c>
      <c r="K148" s="260">
        <f>('Pivot Table for Data Exchange'!$F$459)*100</f>
        <v>0</v>
      </c>
      <c r="L148" s="261">
        <f>SUM(M148:O148)</f>
        <v>0</v>
      </c>
      <c r="M148" s="260">
        <f>('Pivot Table for Data Exchange'!$F$462)*100</f>
        <v>0</v>
      </c>
      <c r="N148" s="260">
        <f>('Pivot Table for Data Exchange'!$F$465)*100</f>
        <v>0</v>
      </c>
      <c r="O148" s="268">
        <f>('Pivot Table for Data Exchange'!$F$468)*100</f>
        <v>0</v>
      </c>
      <c r="P148" s="260">
        <f>('Pivot Table for Data Exchange'!$F$471)*100</f>
        <v>0</v>
      </c>
      <c r="Q148" s="265">
        <f t="shared" si="34"/>
        <v>0</v>
      </c>
      <c r="R148" s="265">
        <f t="shared" si="35"/>
        <v>0</v>
      </c>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row>
    <row r="149" spans="1:41" ht="15.75" customHeight="1">
      <c r="A149" s="231" t="s">
        <v>679</v>
      </c>
      <c r="B149" s="260">
        <f>('Pivot Table for Data Exchange'!$F$474)*100</f>
        <v>0</v>
      </c>
      <c r="C149" s="260">
        <f>('Pivot Table for Data Exchange'!$F$477)*100</f>
        <v>0</v>
      </c>
      <c r="D149" s="261">
        <f>SUM(E149:G149)</f>
        <v>0</v>
      </c>
      <c r="E149" s="260">
        <f>('Pivot Table for Data Exchange'!$F$480)*100</f>
        <v>0</v>
      </c>
      <c r="F149" s="260">
        <f>('Pivot Table for Data Exchange'!$F$483)*100</f>
        <v>0</v>
      </c>
      <c r="G149" s="268">
        <f>('Pivot Table for Data Exchange'!$F$486)*100</f>
        <v>0</v>
      </c>
      <c r="H149" s="260">
        <f>('Pivot Table for Data Exchange'!$F$489)*100</f>
        <v>0</v>
      </c>
      <c r="I149" s="266" t="s">
        <v>679</v>
      </c>
      <c r="J149" s="260">
        <f>('Pivot Table for Data Exchange'!$F$492)*100</f>
        <v>0</v>
      </c>
      <c r="K149" s="260">
        <f>('Pivot Table for Data Exchange'!$F$495)*100</f>
        <v>0</v>
      </c>
      <c r="L149" s="261">
        <f>SUM(M149:O149)</f>
        <v>0</v>
      </c>
      <c r="M149" s="260">
        <f>('Pivot Table for Data Exchange'!$F$498)*100</f>
        <v>0</v>
      </c>
      <c r="N149" s="260">
        <f>('Pivot Table for Data Exchange'!$F$501)*100</f>
        <v>0</v>
      </c>
      <c r="O149" s="268">
        <f>('Pivot Table for Data Exchange'!$F$504)*100</f>
        <v>0</v>
      </c>
      <c r="P149" s="260">
        <f>('Pivot Table for Data Exchange'!$F$507)*100</f>
        <v>0</v>
      </c>
      <c r="Q149" s="265">
        <f t="shared" si="34"/>
        <v>0</v>
      </c>
      <c r="R149" s="265">
        <f t="shared" si="35"/>
        <v>0</v>
      </c>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row>
    <row r="150" spans="1:41" ht="15.75" customHeight="1">
      <c r="A150" s="231" t="s">
        <v>680</v>
      </c>
      <c r="B150" s="260">
        <f>('Pivot Table for Data Exchange'!$F$510)*100</f>
        <v>0</v>
      </c>
      <c r="C150" s="260">
        <f>('Pivot Table for Data Exchange'!$F$513)*100</f>
        <v>0</v>
      </c>
      <c r="D150" s="261">
        <f t="shared" ref="D150" si="38">SUM(E150:G150)</f>
        <v>0</v>
      </c>
      <c r="E150" s="260">
        <f>('Pivot Table for Data Exchange'!$F$516)*100</f>
        <v>0</v>
      </c>
      <c r="F150" s="260">
        <f>('Pivot Table for Data Exchange'!$F$519)*100</f>
        <v>0</v>
      </c>
      <c r="G150" s="268">
        <f>('Pivot Table for Data Exchange'!$F$522)*100</f>
        <v>0</v>
      </c>
      <c r="H150" s="260">
        <f>('Pivot Table for Data Exchange'!$F$525)*100</f>
        <v>0</v>
      </c>
      <c r="I150" s="266" t="s">
        <v>680</v>
      </c>
      <c r="J150" s="260">
        <f>('Pivot Table for Data Exchange'!$F$528)*100</f>
        <v>0</v>
      </c>
      <c r="K150" s="260">
        <f>('Pivot Table for Data Exchange'!$F$531)*100</f>
        <v>0</v>
      </c>
      <c r="L150" s="261">
        <f t="shared" ref="L150" si="39">SUM(M150:O150)</f>
        <v>0</v>
      </c>
      <c r="M150" s="260">
        <f>('Pivot Table for Data Exchange'!$F$534)*100</f>
        <v>0</v>
      </c>
      <c r="N150" s="260">
        <f>('Pivot Table for Data Exchange'!$F$537)*100</f>
        <v>0</v>
      </c>
      <c r="O150" s="268">
        <f>('Pivot Table for Data Exchange'!$F$540)*100</f>
        <v>0</v>
      </c>
      <c r="P150" s="260">
        <f>('Pivot Table for Data Exchange'!$F$543)*100</f>
        <v>0</v>
      </c>
      <c r="Q150" s="265">
        <f t="shared" si="34"/>
        <v>0</v>
      </c>
      <c r="R150" s="265">
        <f t="shared" si="35"/>
        <v>0</v>
      </c>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row>
    <row r="151" spans="1:41" ht="15.75" customHeight="1">
      <c r="A151" s="237" t="s">
        <v>681</v>
      </c>
      <c r="B151" s="273">
        <f>('Pivot Table for Data Exchange'!$F$546)*100</f>
        <v>0</v>
      </c>
      <c r="C151" s="273">
        <f>('Pivot Table for Data Exchange'!$F$549)*100</f>
        <v>0</v>
      </c>
      <c r="D151" s="274">
        <f>SUM(E151:G151)</f>
        <v>0</v>
      </c>
      <c r="E151" s="273">
        <f>('Pivot Table for Data Exchange'!$F$552)*100</f>
        <v>0</v>
      </c>
      <c r="F151" s="273">
        <f>('Pivot Table for Data Exchange'!$F$555)*100</f>
        <v>0</v>
      </c>
      <c r="G151" s="275">
        <f>('Pivot Table for Data Exchange'!$F$558)*100</f>
        <v>0</v>
      </c>
      <c r="H151" s="273">
        <f>('Pivot Table for Data Exchange'!$F$561)*100</f>
        <v>0</v>
      </c>
      <c r="I151" s="276" t="s">
        <v>681</v>
      </c>
      <c r="J151" s="273">
        <f>('Pivot Table for Data Exchange'!$F$564)*100</f>
        <v>0</v>
      </c>
      <c r="K151" s="273">
        <f>('Pivot Table for Data Exchange'!$F$567)*100</f>
        <v>0</v>
      </c>
      <c r="L151" s="274">
        <f>SUM(M151:O151)</f>
        <v>0</v>
      </c>
      <c r="M151" s="273">
        <f>('Pivot Table for Data Exchange'!$F$570)*100</f>
        <v>0</v>
      </c>
      <c r="N151" s="273">
        <f>('Pivot Table for Data Exchange'!$F$573)*100</f>
        <v>0</v>
      </c>
      <c r="O151" s="275">
        <f>('Pivot Table for Data Exchange'!$F$576)*100</f>
        <v>0</v>
      </c>
      <c r="P151" s="273">
        <f>('Pivot Table for Data Exchange'!$F$579)*100</f>
        <v>0</v>
      </c>
      <c r="Q151" s="265">
        <f t="shared" si="34"/>
        <v>0</v>
      </c>
      <c r="R151" s="265">
        <f t="shared" si="35"/>
        <v>0</v>
      </c>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row>
    <row r="152" spans="1:41" s="278" customFormat="1" ht="12.75" customHeight="1">
      <c r="A152" s="279" t="s">
        <v>706</v>
      </c>
      <c r="B152" s="280"/>
      <c r="C152" s="280"/>
      <c r="D152" s="281"/>
      <c r="E152" s="280"/>
      <c r="F152" s="281"/>
      <c r="G152" s="281"/>
      <c r="H152" s="280"/>
      <c r="I152" s="279" t="s">
        <v>706</v>
      </c>
      <c r="J152" s="280"/>
      <c r="K152" s="280"/>
      <c r="L152" s="281"/>
      <c r="M152" s="280"/>
      <c r="N152" s="281"/>
      <c r="O152" s="281"/>
      <c r="P152" s="280"/>
      <c r="Q152" s="265"/>
      <c r="R152" s="265"/>
      <c r="S152" s="282"/>
      <c r="T152" s="282"/>
      <c r="U152" s="282"/>
      <c r="V152" s="282"/>
      <c r="W152" s="282"/>
      <c r="X152" s="282"/>
      <c r="Y152" s="282"/>
      <c r="Z152" s="282"/>
      <c r="AA152" s="282"/>
      <c r="AB152" s="282"/>
      <c r="AC152" s="282"/>
      <c r="AD152" s="282"/>
      <c r="AE152" s="282"/>
      <c r="AF152" s="282"/>
      <c r="AG152" s="282"/>
      <c r="AH152" s="282"/>
      <c r="AI152" s="282"/>
      <c r="AJ152" s="282"/>
      <c r="AK152" s="282"/>
      <c r="AL152" s="282"/>
      <c r="AM152" s="282"/>
      <c r="AN152" s="282"/>
      <c r="AO152" s="282"/>
    </row>
    <row r="153" spans="1:41" s="278" customFormat="1" ht="24" customHeight="1">
      <c r="A153" s="490" t="s">
        <v>712</v>
      </c>
      <c r="B153" s="503"/>
      <c r="C153" s="503"/>
      <c r="D153" s="503"/>
      <c r="E153" s="503"/>
      <c r="F153" s="503"/>
      <c r="G153" s="503"/>
      <c r="H153" s="503"/>
      <c r="I153" s="490" t="s">
        <v>712</v>
      </c>
      <c r="J153" s="503"/>
      <c r="K153" s="503"/>
      <c r="L153" s="503"/>
      <c r="M153" s="503"/>
      <c r="N153" s="503"/>
      <c r="O153" s="503"/>
      <c r="P153" s="503"/>
      <c r="Q153" s="265"/>
      <c r="R153" s="265"/>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row>
    <row r="154" spans="1:41" s="278" customFormat="1" ht="9.75" customHeight="1">
      <c r="A154" s="283"/>
      <c r="B154" s="233"/>
      <c r="C154" s="233"/>
      <c r="D154" s="233"/>
      <c r="E154" s="233"/>
      <c r="F154" s="233"/>
      <c r="G154" s="233"/>
      <c r="H154" s="233"/>
      <c r="I154" s="283"/>
      <c r="J154" s="233"/>
      <c r="K154" s="233"/>
      <c r="L154" s="233"/>
      <c r="M154" s="233"/>
      <c r="N154" s="233"/>
      <c r="O154" s="233"/>
      <c r="P154" s="233"/>
      <c r="Q154" s="265"/>
      <c r="R154" s="265"/>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row>
    <row r="155" spans="1:41" s="278" customFormat="1" ht="13.5" customHeight="1">
      <c r="A155" s="289"/>
      <c r="B155" s="290"/>
      <c r="H155" s="284" t="s">
        <v>839</v>
      </c>
      <c r="I155" s="289"/>
      <c r="P155" s="284" t="s">
        <v>839</v>
      </c>
      <c r="Q155" s="265"/>
      <c r="R155" s="265"/>
    </row>
    <row r="156" spans="1:41" ht="18">
      <c r="A156" s="226" t="s">
        <v>715</v>
      </c>
      <c r="B156" s="227"/>
      <c r="C156" s="227"/>
      <c r="D156" s="227"/>
      <c r="E156" s="227"/>
      <c r="F156" s="227"/>
      <c r="G156" s="227"/>
      <c r="H156" s="227"/>
      <c r="I156" s="226" t="s">
        <v>716</v>
      </c>
      <c r="J156" s="228"/>
      <c r="K156" s="228"/>
      <c r="L156" s="227"/>
      <c r="M156" s="228"/>
      <c r="N156" s="228"/>
      <c r="O156" s="228"/>
      <c r="P156" s="228"/>
      <c r="Q156" s="265"/>
      <c r="R156" s="265"/>
    </row>
    <row r="157" spans="1:41" ht="13">
      <c r="A157" s="232"/>
      <c r="B157" s="228"/>
      <c r="C157" s="228"/>
      <c r="D157" s="228"/>
      <c r="E157" s="228"/>
      <c r="F157" s="228"/>
      <c r="G157" s="228"/>
      <c r="H157" s="228"/>
      <c r="I157" s="232"/>
      <c r="J157" s="228"/>
      <c r="K157" s="228"/>
      <c r="L157" s="228"/>
      <c r="M157" s="228"/>
      <c r="N157" s="228"/>
      <c r="O157" s="228"/>
      <c r="P157" s="228"/>
      <c r="Q157" s="265"/>
      <c r="R157" s="265"/>
    </row>
    <row r="158" spans="1:41" ht="15.5">
      <c r="A158" s="234" t="s">
        <v>687</v>
      </c>
      <c r="B158" s="228"/>
      <c r="C158" s="228"/>
      <c r="D158" s="228"/>
      <c r="E158" s="228"/>
      <c r="F158" s="228"/>
      <c r="G158" s="228"/>
      <c r="H158" s="228"/>
      <c r="I158" s="234" t="s">
        <v>688</v>
      </c>
      <c r="J158" s="228"/>
      <c r="K158" s="228"/>
      <c r="L158" s="228"/>
      <c r="M158" s="228"/>
      <c r="N158" s="228"/>
      <c r="O158" s="228"/>
      <c r="P158" s="228"/>
      <c r="Q158" s="265"/>
      <c r="R158" s="265"/>
    </row>
    <row r="159" spans="1:41" ht="15.5">
      <c r="A159" s="234" t="s">
        <v>769</v>
      </c>
      <c r="B159" s="228"/>
      <c r="C159" s="228"/>
      <c r="D159" s="228"/>
      <c r="E159" s="228"/>
      <c r="F159" s="228"/>
      <c r="G159" s="228"/>
      <c r="H159" s="228"/>
      <c r="I159" s="234" t="s">
        <v>769</v>
      </c>
      <c r="J159" s="228"/>
      <c r="K159" s="228"/>
      <c r="L159" s="228"/>
      <c r="M159" s="228"/>
      <c r="N159" s="228"/>
      <c r="O159" s="228"/>
      <c r="P159" s="228"/>
      <c r="Q159" s="265"/>
      <c r="R159" s="265"/>
    </row>
    <row r="160" spans="1:41">
      <c r="A160" s="237"/>
      <c r="B160" s="238"/>
      <c r="C160" s="238"/>
      <c r="D160" s="238"/>
      <c r="E160" s="238"/>
      <c r="F160" s="238"/>
      <c r="G160" s="238"/>
      <c r="H160" s="238"/>
      <c r="I160" s="239"/>
      <c r="L160" s="240"/>
      <c r="P160" s="237"/>
      <c r="Q160" s="265"/>
      <c r="R160" s="265"/>
    </row>
    <row r="161" spans="1:41" s="247" customFormat="1">
      <c r="A161" s="242"/>
      <c r="B161" s="243" t="s">
        <v>689</v>
      </c>
      <c r="C161" s="243"/>
      <c r="D161" s="243"/>
      <c r="E161" s="243"/>
      <c r="F161" s="243"/>
      <c r="G161" s="243"/>
      <c r="H161" s="244"/>
      <c r="I161" s="242"/>
      <c r="J161" s="243" t="s">
        <v>689</v>
      </c>
      <c r="K161" s="243"/>
      <c r="L161" s="243"/>
      <c r="M161" s="243"/>
      <c r="N161" s="243"/>
      <c r="O161" s="243"/>
      <c r="P161" s="244"/>
      <c r="Q161" s="265"/>
      <c r="R161" s="265"/>
    </row>
    <row r="162" spans="1:41" s="247" customFormat="1">
      <c r="A162" s="242"/>
      <c r="B162" s="243" t="s">
        <v>690</v>
      </c>
      <c r="C162" s="243"/>
      <c r="D162" s="485" t="s">
        <v>691</v>
      </c>
      <c r="E162" s="483"/>
      <c r="F162" s="483"/>
      <c r="G162" s="483"/>
      <c r="H162" s="250" t="s">
        <v>581</v>
      </c>
      <c r="I162" s="242"/>
      <c r="J162" s="243" t="s">
        <v>690</v>
      </c>
      <c r="K162" s="243"/>
      <c r="L162" s="485" t="s">
        <v>691</v>
      </c>
      <c r="M162" s="483"/>
      <c r="N162" s="483"/>
      <c r="O162" s="483"/>
      <c r="P162" s="250" t="s">
        <v>581</v>
      </c>
      <c r="Q162" s="265"/>
      <c r="R162" s="265"/>
    </row>
    <row r="163" spans="1:41" s="247" customFormat="1" ht="40.5" customHeight="1">
      <c r="A163" s="242"/>
      <c r="B163" s="251" t="s">
        <v>692</v>
      </c>
      <c r="C163" s="252" t="s">
        <v>693</v>
      </c>
      <c r="D163" s="253" t="s">
        <v>694</v>
      </c>
      <c r="E163" s="254" t="s">
        <v>8</v>
      </c>
      <c r="F163" s="251" t="s">
        <v>695</v>
      </c>
      <c r="G163" s="255" t="s">
        <v>704</v>
      </c>
      <c r="H163" s="256" t="s">
        <v>697</v>
      </c>
      <c r="I163" s="242"/>
      <c r="J163" s="251" t="s">
        <v>692</v>
      </c>
      <c r="K163" s="252" t="s">
        <v>693</v>
      </c>
      <c r="L163" s="253" t="s">
        <v>694</v>
      </c>
      <c r="M163" s="254" t="s">
        <v>8</v>
      </c>
      <c r="N163" s="251" t="s">
        <v>695</v>
      </c>
      <c r="O163" s="255" t="s">
        <v>704</v>
      </c>
      <c r="P163" s="256" t="s">
        <v>697</v>
      </c>
      <c r="Q163" s="265"/>
      <c r="R163" s="265"/>
      <c r="T163" s="285"/>
    </row>
    <row r="164" spans="1:41" ht="15.75" customHeight="1">
      <c r="A164" s="286" t="s">
        <v>666</v>
      </c>
      <c r="B164" s="260">
        <f>('Pivot Table for Data Exchange'!$G$6)*100</f>
        <v>85.087901882925578</v>
      </c>
      <c r="C164" s="260">
        <f>('Pivot Table for Data Exchange'!$G$9)*100</f>
        <v>0.29620853080568721</v>
      </c>
      <c r="D164" s="261">
        <f>SUM(E164:G164)</f>
        <v>14.615889586268732</v>
      </c>
      <c r="E164" s="260">
        <f>('Pivot Table for Data Exchange'!$G$12)*100</f>
        <v>14.615889586268732</v>
      </c>
      <c r="F164" s="260">
        <f>('Pivot Table for Data Exchange'!$G$15)*100</f>
        <v>0</v>
      </c>
      <c r="G164" s="264">
        <f>('Pivot Table for Data Exchange'!$G$18)*100</f>
        <v>0</v>
      </c>
      <c r="H164" s="260">
        <f>('Pivot Table for Data Exchange'!$G$21)*100</f>
        <v>0</v>
      </c>
      <c r="I164" s="263" t="s">
        <v>666</v>
      </c>
      <c r="J164" s="260">
        <f>('Pivot Table for Data Exchange'!$G$24)*100</f>
        <v>9.7507875509227961</v>
      </c>
      <c r="K164" s="260">
        <f>('Pivot Table for Data Exchange'!$G$27)*100</f>
        <v>1.0060859956128054</v>
      </c>
      <c r="L164" s="261">
        <f>SUM(M164:O164)</f>
        <v>89.243126453464399</v>
      </c>
      <c r="M164" s="260">
        <f>('Pivot Table for Data Exchange'!$G$30)*100</f>
        <v>89.243126453464399</v>
      </c>
      <c r="N164" s="260">
        <f>('Pivot Table for Data Exchange'!$G$33)*100</f>
        <v>0</v>
      </c>
      <c r="O164" s="264">
        <f>('Pivot Table for Data Exchange'!$G$36)*100</f>
        <v>0</v>
      </c>
      <c r="P164" s="260">
        <f>('Pivot Table for Data Exchange'!$G$39)*100</f>
        <v>0</v>
      </c>
      <c r="Q164" s="265">
        <f>SUM(B164,C164,D164,H164)</f>
        <v>100</v>
      </c>
      <c r="R164" s="265">
        <f t="shared" si="35"/>
        <v>100</v>
      </c>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row>
    <row r="165" spans="1:41" ht="15.75" customHeight="1">
      <c r="A165" s="231" t="s">
        <v>667</v>
      </c>
      <c r="B165" s="260">
        <f>('Pivot Table for Data Exchange'!$G$42)*100</f>
        <v>0</v>
      </c>
      <c r="C165" s="260">
        <f>('Pivot Table for Data Exchange'!$G$45)*100</f>
        <v>0</v>
      </c>
      <c r="D165" s="261">
        <f t="shared" ref="D165:D167" si="40">SUM(E165:G165)</f>
        <v>0</v>
      </c>
      <c r="E165" s="260">
        <f>('Pivot Table for Data Exchange'!$G$48)*100</f>
        <v>0</v>
      </c>
      <c r="F165" s="260">
        <f>('Pivot Table for Data Exchange'!$G$51)*100</f>
        <v>0</v>
      </c>
      <c r="G165" s="268">
        <f>('Pivot Table for Data Exchange'!$G$54)*100</f>
        <v>0</v>
      </c>
      <c r="H165" s="272">
        <f>('Pivot Table for Data Exchange'!$G$57)*100</f>
        <v>0</v>
      </c>
      <c r="I165" s="266" t="s">
        <v>667</v>
      </c>
      <c r="J165" s="260">
        <f>('Pivot Table for Data Exchange'!$G$60)*100</f>
        <v>0</v>
      </c>
      <c r="K165" s="260">
        <f>('Pivot Table for Data Exchange'!$G$63)*100</f>
        <v>0</v>
      </c>
      <c r="L165" s="261">
        <f t="shared" ref="L165:L167" si="41">SUM(M165:O165)</f>
        <v>0</v>
      </c>
      <c r="M165" s="260">
        <f>('Pivot Table for Data Exchange'!$G$66)*100</f>
        <v>0</v>
      </c>
      <c r="N165" s="260">
        <f>('Pivot Table for Data Exchange'!$G$69)*100</f>
        <v>0</v>
      </c>
      <c r="O165" s="268">
        <f>('Pivot Table for Data Exchange'!$G$72)*100</f>
        <v>0</v>
      </c>
      <c r="P165" s="260">
        <f>('Pivot Table for Data Exchange'!$G$75)*100</f>
        <v>0</v>
      </c>
      <c r="Q165" s="265">
        <f t="shared" si="34"/>
        <v>0</v>
      </c>
      <c r="R165" s="265">
        <f t="shared" si="35"/>
        <v>0</v>
      </c>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row>
    <row r="166" spans="1:41" ht="15.75" customHeight="1">
      <c r="A166" s="231" t="s">
        <v>668</v>
      </c>
      <c r="B166" s="260">
        <f>('Pivot Table for Data Exchange'!$G$78)*100</f>
        <v>0</v>
      </c>
      <c r="C166" s="260">
        <f>('Pivot Table for Data Exchange'!$G$81)*100</f>
        <v>0</v>
      </c>
      <c r="D166" s="261">
        <f t="shared" si="40"/>
        <v>0</v>
      </c>
      <c r="E166" s="260">
        <f>('Pivot Table for Data Exchange'!$G$84)*100</f>
        <v>0</v>
      </c>
      <c r="F166" s="260">
        <f>('Pivot Table for Data Exchange'!$G$87)*100</f>
        <v>0</v>
      </c>
      <c r="G166" s="268">
        <f>('Pivot Table for Data Exchange'!$G$90)*100</f>
        <v>0</v>
      </c>
      <c r="H166" s="260">
        <f>('Pivot Table for Data Exchange'!$G$93)*100</f>
        <v>0</v>
      </c>
      <c r="I166" s="266" t="s">
        <v>668</v>
      </c>
      <c r="J166" s="260">
        <f>('Pivot Table for Data Exchange'!$G$96)*100</f>
        <v>0</v>
      </c>
      <c r="K166" s="260">
        <f>('Pivot Table for Data Exchange'!$G$99)*100</f>
        <v>0</v>
      </c>
      <c r="L166" s="261">
        <f t="shared" si="41"/>
        <v>0</v>
      </c>
      <c r="M166" s="260">
        <f>('Pivot Table for Data Exchange'!$G$102)*100</f>
        <v>0</v>
      </c>
      <c r="N166" s="260">
        <f>('Pivot Table for Data Exchange'!$G$105)*100</f>
        <v>0</v>
      </c>
      <c r="O166" s="268">
        <f>('Pivot Table for Data Exchange'!$G$108)*100</f>
        <v>0</v>
      </c>
      <c r="P166" s="260">
        <f>('Pivot Table for Data Exchange'!$G$111)*100</f>
        <v>0</v>
      </c>
      <c r="Q166" s="265">
        <f t="shared" si="34"/>
        <v>0</v>
      </c>
      <c r="R166" s="265">
        <f t="shared" si="35"/>
        <v>0</v>
      </c>
      <c r="S166" s="266"/>
      <c r="T166" s="240"/>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row>
    <row r="167" spans="1:41" ht="15.75" customHeight="1">
      <c r="A167" s="231" t="s">
        <v>669</v>
      </c>
      <c r="B167" s="260">
        <f>('Pivot Table for Data Exchange'!$G$114)*100</f>
        <v>0</v>
      </c>
      <c r="C167" s="260">
        <f>('Pivot Table for Data Exchange'!$G$117)*100</f>
        <v>0</v>
      </c>
      <c r="D167" s="261">
        <f t="shared" si="40"/>
        <v>0</v>
      </c>
      <c r="E167" s="260">
        <f>('Pivot Table for Data Exchange'!$G$120)*100</f>
        <v>0</v>
      </c>
      <c r="F167" s="260">
        <f>('Pivot Table for Data Exchange'!$G$123)*100</f>
        <v>0</v>
      </c>
      <c r="G167" s="268">
        <f>('Pivot Table for Data Exchange'!$G$126)*100</f>
        <v>0</v>
      </c>
      <c r="H167" s="260">
        <f>('Pivot Table for Data Exchange'!$G$129)*100</f>
        <v>0</v>
      </c>
      <c r="I167" s="266" t="s">
        <v>669</v>
      </c>
      <c r="J167" s="260">
        <f>('Pivot Table for Data Exchange'!$G$132)*100</f>
        <v>0</v>
      </c>
      <c r="K167" s="260">
        <f>('Pivot Table for Data Exchange'!$G$135)*100</f>
        <v>0</v>
      </c>
      <c r="L167" s="261">
        <f t="shared" si="41"/>
        <v>0</v>
      </c>
      <c r="M167" s="260">
        <f>('Pivot Table for Data Exchange'!$G$138)*100</f>
        <v>0</v>
      </c>
      <c r="N167" s="260">
        <f>('Pivot Table for Data Exchange'!$G$141)*100</f>
        <v>0</v>
      </c>
      <c r="O167" s="268">
        <f>('Pivot Table for Data Exchange'!$G$144)*100</f>
        <v>0</v>
      </c>
      <c r="P167" s="260">
        <f>('Pivot Table for Data Exchange'!$G$147)*100</f>
        <v>0</v>
      </c>
      <c r="Q167" s="265">
        <f t="shared" si="34"/>
        <v>0</v>
      </c>
      <c r="R167" s="265">
        <f t="shared" si="35"/>
        <v>0</v>
      </c>
      <c r="S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row>
    <row r="168" spans="1:41" ht="10.5" customHeight="1">
      <c r="B168" s="260"/>
      <c r="C168" s="260"/>
      <c r="D168" s="261"/>
      <c r="E168" s="260"/>
      <c r="F168" s="260"/>
      <c r="G168" s="268"/>
      <c r="H168" s="260"/>
      <c r="I168" s="266"/>
      <c r="J168" s="260"/>
      <c r="K168" s="260"/>
      <c r="L168" s="261"/>
      <c r="M168" s="260"/>
      <c r="N168" s="260"/>
      <c r="O168" s="268"/>
      <c r="P168" s="260"/>
      <c r="Q168" s="265">
        <f t="shared" si="34"/>
        <v>0</v>
      </c>
      <c r="R168" s="265">
        <f t="shared" si="35"/>
        <v>0</v>
      </c>
      <c r="S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row>
    <row r="169" spans="1:41" ht="15.75" customHeight="1">
      <c r="A169" s="231" t="s">
        <v>670</v>
      </c>
      <c r="B169" s="260">
        <f>('Pivot Table for Data Exchange'!$G$150)*100</f>
        <v>85.305159922699062</v>
      </c>
      <c r="C169" s="260">
        <f>('Pivot Table for Data Exchange'!$G$153)*100</f>
        <v>0.23241361109455744</v>
      </c>
      <c r="D169" s="261">
        <f t="shared" ref="D169:D172" si="42">SUM(E169:G169)</f>
        <v>14.462426466206379</v>
      </c>
      <c r="E169" s="260">
        <f>('Pivot Table for Data Exchange'!$G$156)*100</f>
        <v>14.462426466206379</v>
      </c>
      <c r="F169" s="260">
        <f>('Pivot Table for Data Exchange'!$G$159)*100</f>
        <v>0</v>
      </c>
      <c r="G169" s="268">
        <f>('Pivot Table for Data Exchange'!$G$162)*100</f>
        <v>0</v>
      </c>
      <c r="H169" s="260">
        <f>('Pivot Table for Data Exchange'!$G$165)*100</f>
        <v>0</v>
      </c>
      <c r="I169" s="266" t="s">
        <v>670</v>
      </c>
      <c r="J169" s="260">
        <f>('Pivot Table for Data Exchange'!$G$168)*100</f>
        <v>42.233529726834497</v>
      </c>
      <c r="K169" s="260">
        <f>('Pivot Table for Data Exchange'!$G$171)*100</f>
        <v>35.350830208891267</v>
      </c>
      <c r="L169" s="261">
        <f t="shared" ref="L169:L172" si="43">SUM(M169:O169)</f>
        <v>22.415640064274235</v>
      </c>
      <c r="M169" s="260">
        <f>('Pivot Table for Data Exchange'!$G$174)*100</f>
        <v>22.415640064274235</v>
      </c>
      <c r="N169" s="260">
        <f>('Pivot Table for Data Exchange'!$G$177)*100</f>
        <v>0</v>
      </c>
      <c r="O169" s="268">
        <f>('Pivot Table for Data Exchange'!$G$180)*100</f>
        <v>0</v>
      </c>
      <c r="P169" s="260">
        <f>('Pivot Table for Data Exchange'!$G$183)*100</f>
        <v>0</v>
      </c>
      <c r="Q169" s="265">
        <f t="shared" si="34"/>
        <v>100</v>
      </c>
      <c r="R169" s="265">
        <f t="shared" si="35"/>
        <v>100</v>
      </c>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row>
    <row r="170" spans="1:41" ht="15.75" customHeight="1">
      <c r="A170" s="231" t="s">
        <v>671</v>
      </c>
      <c r="B170" s="260">
        <f>('Pivot Table for Data Exchange'!$G$186)*100</f>
        <v>0</v>
      </c>
      <c r="C170" s="260">
        <f>('Pivot Table for Data Exchange'!$G$189)*100</f>
        <v>0</v>
      </c>
      <c r="D170" s="261">
        <f t="shared" si="42"/>
        <v>0</v>
      </c>
      <c r="E170" s="260">
        <f>('Pivot Table for Data Exchange'!$G$192)*100</f>
        <v>0</v>
      </c>
      <c r="F170" s="260">
        <f>('Pivot Table for Data Exchange'!$G$195)*100</f>
        <v>0</v>
      </c>
      <c r="G170" s="268">
        <f>('Pivot Table for Data Exchange'!$G$198)*100</f>
        <v>0</v>
      </c>
      <c r="H170" s="260">
        <f>('Pivot Table for Data Exchange'!$G$201)*100</f>
        <v>0</v>
      </c>
      <c r="I170" s="266" t="s">
        <v>671</v>
      </c>
      <c r="J170" s="260">
        <f>('Pivot Table for Data Exchange'!$G$204)*100</f>
        <v>0</v>
      </c>
      <c r="K170" s="260">
        <f>('Pivot Table for Data Exchange'!$G$207)*100</f>
        <v>0</v>
      </c>
      <c r="L170" s="261">
        <f t="shared" si="43"/>
        <v>0</v>
      </c>
      <c r="M170" s="260">
        <f>('Pivot Table for Data Exchange'!$G$210)*100</f>
        <v>0</v>
      </c>
      <c r="N170" s="260">
        <f>('Pivot Table for Data Exchange'!$G$213)*100</f>
        <v>0</v>
      </c>
      <c r="O170" s="268">
        <f>('Pivot Table for Data Exchange'!$G$216)*100</f>
        <v>0</v>
      </c>
      <c r="P170" s="260">
        <f>('Pivot Table for Data Exchange'!$G$219)*100</f>
        <v>0</v>
      </c>
      <c r="Q170" s="265">
        <f t="shared" si="34"/>
        <v>0</v>
      </c>
      <c r="R170" s="265">
        <f t="shared" si="35"/>
        <v>0</v>
      </c>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row>
    <row r="171" spans="1:41" ht="15.75" customHeight="1">
      <c r="A171" s="231" t="s">
        <v>672</v>
      </c>
      <c r="B171" s="260">
        <f>('Pivot Table for Data Exchange'!$G$222)*100</f>
        <v>85.860655737704903</v>
      </c>
      <c r="C171" s="260">
        <f>('Pivot Table for Data Exchange'!$G$225)*100</f>
        <v>0</v>
      </c>
      <c r="D171" s="261">
        <f t="shared" si="42"/>
        <v>14.139344262295086</v>
      </c>
      <c r="E171" s="260">
        <f>('Pivot Table for Data Exchange'!$G$228)*100</f>
        <v>14.139344262295086</v>
      </c>
      <c r="F171" s="260">
        <f>('Pivot Table for Data Exchange'!$G$231)*100</f>
        <v>0</v>
      </c>
      <c r="G171" s="268">
        <f>('Pivot Table for Data Exchange'!$G$234)*100</f>
        <v>0</v>
      </c>
      <c r="H171" s="260">
        <f>('Pivot Table for Data Exchange'!$G$237)*100</f>
        <v>0</v>
      </c>
      <c r="I171" s="266" t="s">
        <v>672</v>
      </c>
      <c r="J171" s="260">
        <f>('Pivot Table for Data Exchange'!$G$240)*100</f>
        <v>86.637931034482719</v>
      </c>
      <c r="K171" s="260">
        <f>('Pivot Table for Data Exchange'!$G$243)*100</f>
        <v>0</v>
      </c>
      <c r="L171" s="261">
        <f t="shared" si="43"/>
        <v>13.362068965517288</v>
      </c>
      <c r="M171" s="260">
        <f>('Pivot Table for Data Exchange'!$G$246)*100</f>
        <v>13.362068965517288</v>
      </c>
      <c r="N171" s="260">
        <f>('Pivot Table for Data Exchange'!$G$249)*100</f>
        <v>0</v>
      </c>
      <c r="O171" s="268">
        <f>('Pivot Table for Data Exchange'!$G$252)*100</f>
        <v>0</v>
      </c>
      <c r="P171" s="260">
        <f>('Pivot Table for Data Exchange'!$G$255)*100</f>
        <v>0</v>
      </c>
      <c r="Q171" s="265">
        <f t="shared" si="34"/>
        <v>99.999999999999986</v>
      </c>
      <c r="R171" s="265">
        <f t="shared" si="35"/>
        <v>100</v>
      </c>
      <c r="S171" s="266"/>
      <c r="T171" s="240"/>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row>
    <row r="172" spans="1:41" ht="15.75" customHeight="1">
      <c r="A172" s="231" t="s">
        <v>673</v>
      </c>
      <c r="B172" s="260">
        <f>('Pivot Table for Data Exchange'!$G$258)*100</f>
        <v>78.742607145750625</v>
      </c>
      <c r="C172" s="260">
        <f>('Pivot Table for Data Exchange'!$G$261)*100</f>
        <v>7.2915822733533184E-2</v>
      </c>
      <c r="D172" s="261">
        <f t="shared" si="42"/>
        <v>21.18447703151584</v>
      </c>
      <c r="E172" s="260">
        <f>('Pivot Table for Data Exchange'!$G$264)*100</f>
        <v>21.18447703151584</v>
      </c>
      <c r="F172" s="260">
        <f>('Pivot Table for Data Exchange'!$G$267)*100</f>
        <v>0</v>
      </c>
      <c r="G172" s="268">
        <f>('Pivot Table for Data Exchange'!$G$270)*100</f>
        <v>0</v>
      </c>
      <c r="H172" s="260">
        <f>('Pivot Table for Data Exchange'!$G$273)*100</f>
        <v>0</v>
      </c>
      <c r="I172" s="266" t="s">
        <v>673</v>
      </c>
      <c r="J172" s="260">
        <f>('Pivot Table for Data Exchange'!$G$276)*100</f>
        <v>82.50336473755047</v>
      </c>
      <c r="K172" s="260">
        <f>('Pivot Table for Data Exchange'!$G$279)*100</f>
        <v>4.4991347817727361</v>
      </c>
      <c r="L172" s="261">
        <f t="shared" si="43"/>
        <v>12.997500480676793</v>
      </c>
      <c r="M172" s="260">
        <f>('Pivot Table for Data Exchange'!$G$282)*100</f>
        <v>12.997500480676793</v>
      </c>
      <c r="N172" s="260">
        <f>('Pivot Table for Data Exchange'!$G$285)*100</f>
        <v>0</v>
      </c>
      <c r="O172" s="268">
        <f>('Pivot Table for Data Exchange'!$G$288)*100</f>
        <v>0</v>
      </c>
      <c r="P172" s="260">
        <f>('Pivot Table for Data Exchange'!$G$291)*100</f>
        <v>0</v>
      </c>
      <c r="Q172" s="265">
        <f t="shared" si="34"/>
        <v>100</v>
      </c>
      <c r="R172" s="265">
        <f t="shared" si="35"/>
        <v>100</v>
      </c>
      <c r="S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row>
    <row r="173" spans="1:41" ht="11.25" customHeight="1">
      <c r="B173" s="260"/>
      <c r="C173" s="260"/>
      <c r="D173" s="261"/>
      <c r="E173" s="260"/>
      <c r="F173" s="260"/>
      <c r="G173" s="268"/>
      <c r="H173" s="260"/>
      <c r="I173" s="266"/>
      <c r="J173" s="260"/>
      <c r="K173" s="260"/>
      <c r="L173" s="261"/>
      <c r="M173" s="260"/>
      <c r="N173" s="260"/>
      <c r="O173" s="268"/>
      <c r="P173" s="260"/>
      <c r="Q173" s="265">
        <f t="shared" si="34"/>
        <v>0</v>
      </c>
      <c r="R173" s="265">
        <f t="shared" si="35"/>
        <v>0</v>
      </c>
      <c r="S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row>
    <row r="174" spans="1:41" ht="15.75" customHeight="1">
      <c r="A174" s="231" t="s">
        <v>674</v>
      </c>
      <c r="B174" s="260">
        <f>('Pivot Table for Data Exchange'!$G$294)*100</f>
        <v>0</v>
      </c>
      <c r="C174" s="260">
        <f>('Pivot Table for Data Exchange'!$G$297)*100</f>
        <v>0</v>
      </c>
      <c r="D174" s="261">
        <f t="shared" ref="D174:D176" si="44">SUM(E174:G174)</f>
        <v>0</v>
      </c>
      <c r="E174" s="260">
        <f>('Pivot Table for Data Exchange'!$G$300)*100</f>
        <v>0</v>
      </c>
      <c r="F174" s="260">
        <f>('Pivot Table for Data Exchange'!$G$303)*100</f>
        <v>0</v>
      </c>
      <c r="G174" s="268">
        <f>('Pivot Table for Data Exchange'!$G$306)*100</f>
        <v>0</v>
      </c>
      <c r="H174" s="260">
        <f>('Pivot Table for Data Exchange'!$G$309)*100</f>
        <v>0</v>
      </c>
      <c r="I174" s="266" t="s">
        <v>674</v>
      </c>
      <c r="J174" s="260">
        <f>('Pivot Table for Data Exchange'!$G$312)*100</f>
        <v>0</v>
      </c>
      <c r="K174" s="260">
        <f>('Pivot Table for Data Exchange'!$G$315)*100</f>
        <v>0</v>
      </c>
      <c r="L174" s="261">
        <f t="shared" ref="L174:L176" si="45">SUM(M174:O174)</f>
        <v>0</v>
      </c>
      <c r="M174" s="260">
        <f>('Pivot Table for Data Exchange'!$G$318)*100</f>
        <v>0</v>
      </c>
      <c r="N174" s="260">
        <f>('Pivot Table for Data Exchange'!$G$321)*100</f>
        <v>0</v>
      </c>
      <c r="O174" s="268">
        <f>('Pivot Table for Data Exchange'!$G$324)*100</f>
        <v>0</v>
      </c>
      <c r="P174" s="260">
        <f>('Pivot Table for Data Exchange'!$G$327)*100</f>
        <v>0</v>
      </c>
      <c r="Q174" s="265">
        <f t="shared" si="34"/>
        <v>0</v>
      </c>
      <c r="R174" s="265">
        <f t="shared" si="35"/>
        <v>0</v>
      </c>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row>
    <row r="175" spans="1:41" ht="15.75" customHeight="1">
      <c r="A175" s="231" t="s">
        <v>675</v>
      </c>
      <c r="B175" s="260">
        <f>('Pivot Table for Data Exchange'!$G$330)*100</f>
        <v>73.727811055496289</v>
      </c>
      <c r="C175" s="260">
        <f>('Pivot Table for Data Exchange'!$G$333)*100</f>
        <v>0.36890402341292633</v>
      </c>
      <c r="D175" s="261">
        <f t="shared" si="44"/>
        <v>25.90328492109078</v>
      </c>
      <c r="E175" s="260">
        <f>('Pivot Table for Data Exchange'!$G$336)*100</f>
        <v>22.066546319849021</v>
      </c>
      <c r="F175" s="260">
        <f>('Pivot Table for Data Exchange'!$G$339)*100</f>
        <v>0.10906430349279286</v>
      </c>
      <c r="G175" s="268">
        <f>('Pivot Table for Data Exchange'!$G$342)*100</f>
        <v>3.7276742977489672</v>
      </c>
      <c r="H175" s="260">
        <f>('Pivot Table for Data Exchange'!$G$345)*100</f>
        <v>0</v>
      </c>
      <c r="I175" s="266" t="s">
        <v>675</v>
      </c>
      <c r="J175" s="260">
        <f>('Pivot Table for Data Exchange'!$G$348)*100</f>
        <v>44.422868665745547</v>
      </c>
      <c r="K175" s="260">
        <f>('Pivot Table for Data Exchange'!$G$351)*100</f>
        <v>3.1703947122745433</v>
      </c>
      <c r="L175" s="261">
        <f t="shared" si="45"/>
        <v>52.40673662197991</v>
      </c>
      <c r="M175" s="260">
        <f>('Pivot Table for Data Exchange'!$G$354)*100</f>
        <v>46.192912356697413</v>
      </c>
      <c r="N175" s="260">
        <f>('Pivot Table for Data Exchange'!$G$357)*100</f>
        <v>0</v>
      </c>
      <c r="O175" s="268">
        <f>('Pivot Table for Data Exchange'!$G$360)*100</f>
        <v>6.213824265282498</v>
      </c>
      <c r="P175" s="260">
        <f>('Pivot Table for Data Exchange'!$G$363)*100</f>
        <v>0</v>
      </c>
      <c r="Q175" s="265">
        <f t="shared" si="34"/>
        <v>100</v>
      </c>
      <c r="R175" s="265">
        <f t="shared" si="35"/>
        <v>100</v>
      </c>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row>
    <row r="176" spans="1:41" ht="15.75" customHeight="1">
      <c r="A176" s="231" t="s">
        <v>676</v>
      </c>
      <c r="B176" s="260">
        <f>('Pivot Table for Data Exchange'!$G$366)*100</f>
        <v>73.380604310859027</v>
      </c>
      <c r="C176" s="260">
        <f>('Pivot Table for Data Exchange'!$G$369)*100</f>
        <v>1.0605969696221029</v>
      </c>
      <c r="D176" s="261">
        <f t="shared" si="44"/>
        <v>25.558798719518872</v>
      </c>
      <c r="E176" s="260">
        <f>('Pivot Table for Data Exchange'!$G$372)*100</f>
        <v>18.781919380512548</v>
      </c>
      <c r="F176" s="260">
        <f>('Pivot Table for Data Exchange'!$G$375)*100</f>
        <v>5.6866350664064296</v>
      </c>
      <c r="G176" s="268">
        <f>('Pivot Table for Data Exchange'!$G$378)*100</f>
        <v>1.090244272599892</v>
      </c>
      <c r="H176" s="260">
        <f>('Pivot Table for Data Exchange'!$G$381)*100</f>
        <v>0</v>
      </c>
      <c r="I176" s="266" t="s">
        <v>676</v>
      </c>
      <c r="J176" s="260">
        <f>('Pivot Table for Data Exchange'!$G$384)*100</f>
        <v>42.724609375</v>
      </c>
      <c r="K176" s="260">
        <f>('Pivot Table for Data Exchange'!$G$387)*100</f>
        <v>0</v>
      </c>
      <c r="L176" s="261">
        <f t="shared" si="45"/>
        <v>57.275390624999993</v>
      </c>
      <c r="M176" s="260">
        <f>('Pivot Table for Data Exchange'!$G$390)*100</f>
        <v>49.495442708333329</v>
      </c>
      <c r="N176" s="260">
        <f>('Pivot Table for Data Exchange'!$G$393)*100</f>
        <v>4.1788736979166661</v>
      </c>
      <c r="O176" s="268">
        <f>('Pivot Table for Data Exchange'!$G$396)*100</f>
        <v>3.60107421875</v>
      </c>
      <c r="P176" s="260">
        <f>('Pivot Table for Data Exchange'!$G$399)*100</f>
        <v>0</v>
      </c>
      <c r="Q176" s="265">
        <f t="shared" si="34"/>
        <v>100</v>
      </c>
      <c r="R176" s="265">
        <f t="shared" si="35"/>
        <v>100</v>
      </c>
      <c r="S176" s="266"/>
      <c r="T176" s="240"/>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row>
    <row r="177" spans="1:41" ht="15.75" customHeight="1">
      <c r="A177" s="231" t="s">
        <v>677</v>
      </c>
      <c r="B177" s="260">
        <f>('Pivot Table for Data Exchange'!$G$402)*100</f>
        <v>91.335193559767788</v>
      </c>
      <c r="C177" s="260">
        <f>('Pivot Table for Data Exchange'!$G$405)*100</f>
        <v>0.49392219121844833</v>
      </c>
      <c r="D177" s="261">
        <f>SUM(E177:G177)</f>
        <v>8.1708842490137581</v>
      </c>
      <c r="E177" s="260">
        <f>('Pivot Table for Data Exchange'!$G$408)*100</f>
        <v>8.1708842490137581</v>
      </c>
      <c r="F177" s="260">
        <f>('Pivot Table for Data Exchange'!$G$411)*100</f>
        <v>0</v>
      </c>
      <c r="G177" s="268">
        <f>('Pivot Table for Data Exchange'!$G$414)*100</f>
        <v>0</v>
      </c>
      <c r="H177" s="260">
        <f>('Pivot Table for Data Exchange'!$G$417)*100</f>
        <v>0</v>
      </c>
      <c r="I177" s="266" t="s">
        <v>677</v>
      </c>
      <c r="J177" s="260">
        <f>('Pivot Table for Data Exchange'!$G$420)*100</f>
        <v>73.943488943488944</v>
      </c>
      <c r="K177" s="260">
        <f>('Pivot Table for Data Exchange'!$G$423)*100</f>
        <v>5.5773955773955777</v>
      </c>
      <c r="L177" s="261">
        <f>SUM(M177:O177)</f>
        <v>20.479115479115478</v>
      </c>
      <c r="M177" s="260">
        <f>('Pivot Table for Data Exchange'!$G$426)*100</f>
        <v>20.128992628992627</v>
      </c>
      <c r="N177" s="260">
        <f>('Pivot Table for Data Exchange'!$G$429)*100</f>
        <v>0.3501228501228501</v>
      </c>
      <c r="O177" s="268">
        <f>('Pivot Table for Data Exchange'!$G$432)*100</f>
        <v>0</v>
      </c>
      <c r="P177" s="260">
        <f>('Pivot Table for Data Exchange'!$G$435)*100</f>
        <v>0</v>
      </c>
      <c r="Q177" s="265">
        <f t="shared" si="34"/>
        <v>99.999999999999986</v>
      </c>
      <c r="R177" s="265">
        <f t="shared" si="35"/>
        <v>100</v>
      </c>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row>
    <row r="178" spans="1:41" ht="11.25" customHeight="1">
      <c r="B178" s="260"/>
      <c r="C178" s="260"/>
      <c r="D178" s="261"/>
      <c r="E178" s="260"/>
      <c r="F178" s="260"/>
      <c r="G178" s="268"/>
      <c r="H178" s="260"/>
      <c r="I178" s="266"/>
      <c r="J178" s="260"/>
      <c r="K178" s="260"/>
      <c r="L178" s="261"/>
      <c r="M178" s="260"/>
      <c r="N178" s="260"/>
      <c r="O178" s="268"/>
      <c r="P178" s="260"/>
      <c r="Q178" s="265">
        <f t="shared" si="34"/>
        <v>0</v>
      </c>
      <c r="R178" s="265">
        <f t="shared" si="35"/>
        <v>0</v>
      </c>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row>
    <row r="179" spans="1:41" ht="15.75" customHeight="1">
      <c r="A179" s="231" t="s">
        <v>678</v>
      </c>
      <c r="B179" s="260">
        <f>('Pivot Table for Data Exchange'!$G$438)*100</f>
        <v>74.002154215019871</v>
      </c>
      <c r="C179" s="260">
        <f>('Pivot Table for Data Exchange'!$G$441)*100</f>
        <v>7.8574080046735508</v>
      </c>
      <c r="D179" s="261">
        <f>SUM(E179:G179)</f>
        <v>18.038812382476618</v>
      </c>
      <c r="E179" s="260">
        <f>('Pivot Table for Data Exchange'!$G$444)*100</f>
        <v>15.787231711992405</v>
      </c>
      <c r="F179" s="260">
        <f>('Pivot Table for Data Exchange'!$G$447)*100</f>
        <v>2.2193282987178162</v>
      </c>
      <c r="G179" s="267">
        <f>('Pivot Table for Data Exchange'!$G$450)*100</f>
        <v>3.2252371766395463E-2</v>
      </c>
      <c r="H179" s="260">
        <f>('Pivot Table for Data Exchange'!$G$453)*100</f>
        <v>0.10162539782996308</v>
      </c>
      <c r="I179" s="266" t="s">
        <v>678</v>
      </c>
      <c r="J179" s="295">
        <f>('Pivot Table for Data Exchange'!$G$456)*100</f>
        <v>14.709032488397</v>
      </c>
      <c r="K179" s="260">
        <f>('Pivot Table for Data Exchange'!$G$459)*100</f>
        <v>0</v>
      </c>
      <c r="L179" s="261">
        <f>SUM(M179:O179)</f>
        <v>85.290967511603</v>
      </c>
      <c r="M179" s="260">
        <f>('Pivot Table for Data Exchange'!$G$462)*100</f>
        <v>85.237415208853989</v>
      </c>
      <c r="N179" s="272">
        <f>('Pivot Table for Data Exchange'!$G$465)*100</f>
        <v>0</v>
      </c>
      <c r="O179" s="268">
        <f>('Pivot Table for Data Exchange'!$G$468)*100</f>
        <v>5.3552302749018212E-2</v>
      </c>
      <c r="P179" s="272">
        <f>('Pivot Table for Data Exchange'!$G$471)*100</f>
        <v>0</v>
      </c>
      <c r="Q179" s="265">
        <f t="shared" si="34"/>
        <v>100</v>
      </c>
      <c r="R179" s="265">
        <f t="shared" si="35"/>
        <v>100</v>
      </c>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row>
    <row r="180" spans="1:41" ht="15.75" customHeight="1">
      <c r="A180" s="231" t="s">
        <v>679</v>
      </c>
      <c r="B180" s="260">
        <f>('Pivot Table for Data Exchange'!$G$474)*100</f>
        <v>0</v>
      </c>
      <c r="C180" s="260">
        <f>('Pivot Table for Data Exchange'!$G$477)*100</f>
        <v>0</v>
      </c>
      <c r="D180" s="261">
        <f>SUM(E180:G180)</f>
        <v>0</v>
      </c>
      <c r="E180" s="260">
        <f>('Pivot Table for Data Exchange'!$G$480)*100</f>
        <v>0</v>
      </c>
      <c r="F180" s="260">
        <f>('Pivot Table for Data Exchange'!$G$483)*100</f>
        <v>0</v>
      </c>
      <c r="G180" s="268">
        <f>('Pivot Table for Data Exchange'!$G$486)*100</f>
        <v>0</v>
      </c>
      <c r="H180" s="260">
        <f>('Pivot Table for Data Exchange'!$G$489)*100</f>
        <v>0</v>
      </c>
      <c r="I180" s="266" t="s">
        <v>679</v>
      </c>
      <c r="J180" s="260">
        <f>('Pivot Table for Data Exchange'!$G$492)*100</f>
        <v>0</v>
      </c>
      <c r="K180" s="260">
        <f>('Pivot Table for Data Exchange'!$G$495)*100</f>
        <v>0</v>
      </c>
      <c r="L180" s="261">
        <f>SUM(M180:O180)</f>
        <v>0</v>
      </c>
      <c r="M180" s="260">
        <f>('Pivot Table for Data Exchange'!$G$498)*100</f>
        <v>0</v>
      </c>
      <c r="N180" s="260">
        <f>('Pivot Table for Data Exchange'!$G$501)*100</f>
        <v>0</v>
      </c>
      <c r="O180" s="268">
        <f>('Pivot Table for Data Exchange'!$G$504)*100</f>
        <v>0</v>
      </c>
      <c r="P180" s="260">
        <f>('Pivot Table for Data Exchange'!$G$507)*100</f>
        <v>0</v>
      </c>
      <c r="Q180" s="265">
        <f t="shared" si="34"/>
        <v>0</v>
      </c>
      <c r="R180" s="265">
        <f t="shared" si="35"/>
        <v>0</v>
      </c>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row>
    <row r="181" spans="1:41" ht="15.75" customHeight="1">
      <c r="A181" s="231" t="s">
        <v>680</v>
      </c>
      <c r="B181" s="260">
        <f>('Pivot Table for Data Exchange'!$G$510)*100</f>
        <v>99.61737485263285</v>
      </c>
      <c r="C181" s="260">
        <f>('Pivot Table for Data Exchange'!$G$513)*100</f>
        <v>0.3826251473671578</v>
      </c>
      <c r="D181" s="261">
        <f t="shared" ref="D181" si="46">SUM(E181:G181)</f>
        <v>0</v>
      </c>
      <c r="E181" s="260">
        <f>('Pivot Table for Data Exchange'!$G$516)*100</f>
        <v>0</v>
      </c>
      <c r="F181" s="272">
        <f>('Pivot Table for Data Exchange'!$G$519)*100</f>
        <v>0</v>
      </c>
      <c r="G181" s="268">
        <f>('Pivot Table for Data Exchange'!$G$522)*100</f>
        <v>0</v>
      </c>
      <c r="H181" s="260">
        <f>('Pivot Table for Data Exchange'!$G$525)*100</f>
        <v>0</v>
      </c>
      <c r="I181" s="266" t="s">
        <v>680</v>
      </c>
      <c r="J181" s="260">
        <f>('Pivot Table for Data Exchange'!$G$528)*100</f>
        <v>98.610191925876904</v>
      </c>
      <c r="K181" s="260">
        <f>('Pivot Table for Data Exchange'!$G$531)*100</f>
        <v>1.3898080741230974</v>
      </c>
      <c r="L181" s="261">
        <f t="shared" ref="L181" si="47">SUM(M181:O181)</f>
        <v>0</v>
      </c>
      <c r="M181" s="260">
        <f>('Pivot Table for Data Exchange'!$G$534)*100</f>
        <v>0</v>
      </c>
      <c r="N181" s="260">
        <f>('Pivot Table for Data Exchange'!$G$537)*100</f>
        <v>0</v>
      </c>
      <c r="O181" s="268">
        <f>('Pivot Table for Data Exchange'!$G$540)*100</f>
        <v>0</v>
      </c>
      <c r="P181" s="260">
        <f>('Pivot Table for Data Exchange'!$G$543)*100</f>
        <v>0</v>
      </c>
      <c r="Q181" s="265">
        <f t="shared" si="34"/>
        <v>100.00000000000001</v>
      </c>
      <c r="R181" s="265">
        <f t="shared" si="35"/>
        <v>100</v>
      </c>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row>
    <row r="182" spans="1:41" ht="15.75" customHeight="1">
      <c r="A182" s="237" t="s">
        <v>681</v>
      </c>
      <c r="B182" s="273">
        <f>('Pivot Table for Data Exchange'!$G$546)*100</f>
        <v>80.276831747142836</v>
      </c>
      <c r="C182" s="273">
        <f>('Pivot Table for Data Exchange'!$G$549)*100</f>
        <v>2.9170648969537067</v>
      </c>
      <c r="D182" s="274">
        <f>SUM(E182:G182)</f>
        <v>16.806103355903456</v>
      </c>
      <c r="E182" s="273">
        <f>('Pivot Table for Data Exchange'!$G$552)*100</f>
        <v>16.46788805578365</v>
      </c>
      <c r="F182" s="273">
        <f>('Pivot Table for Data Exchange'!$G$555)*100</f>
        <v>0.33821530011980561</v>
      </c>
      <c r="G182" s="275">
        <f>('Pivot Table for Data Exchange'!$G$558)*100</f>
        <v>0</v>
      </c>
      <c r="H182" s="273">
        <f>('Pivot Table for Data Exchange'!$G$561)*100</f>
        <v>0</v>
      </c>
      <c r="I182" s="276" t="s">
        <v>681</v>
      </c>
      <c r="J182" s="273">
        <f>('Pivot Table for Data Exchange'!$G$564)*100</f>
        <v>40.743564445241724</v>
      </c>
      <c r="K182" s="273">
        <f>('Pivot Table for Data Exchange'!$G$567)*100</f>
        <v>5.4892815499147911</v>
      </c>
      <c r="L182" s="274">
        <f>SUM(M182:O182)</f>
        <v>53.767154004843476</v>
      </c>
      <c r="M182" s="273">
        <f>('Pivot Table for Data Exchange'!$G$570)*100</f>
        <v>53.713337519059998</v>
      </c>
      <c r="N182" s="273">
        <f>('Pivot Table for Data Exchange'!$G$573)*100</f>
        <v>5.3816485783478342E-2</v>
      </c>
      <c r="O182" s="275">
        <f>('Pivot Table for Data Exchange'!$G$576)*100</f>
        <v>0</v>
      </c>
      <c r="P182" s="273">
        <f>('Pivot Table for Data Exchange'!$G$579)*100</f>
        <v>0</v>
      </c>
      <c r="Q182" s="265">
        <f t="shared" si="34"/>
        <v>100</v>
      </c>
      <c r="R182" s="265">
        <f t="shared" si="35"/>
        <v>100</v>
      </c>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row>
    <row r="183" spans="1:41" s="278" customFormat="1" ht="12.75" customHeight="1">
      <c r="A183" s="279" t="s">
        <v>706</v>
      </c>
      <c r="B183" s="280"/>
      <c r="C183" s="280"/>
      <c r="D183" s="281"/>
      <c r="E183" s="280"/>
      <c r="F183" s="281"/>
      <c r="G183" s="281"/>
      <c r="H183" s="280"/>
      <c r="I183" s="279" t="s">
        <v>706</v>
      </c>
      <c r="J183" s="280"/>
      <c r="K183" s="280"/>
      <c r="L183" s="281"/>
      <c r="M183" s="280"/>
      <c r="N183" s="281"/>
      <c r="O183" s="281"/>
      <c r="P183" s="280"/>
      <c r="Q183" s="265"/>
      <c r="R183" s="265"/>
      <c r="S183" s="282"/>
      <c r="T183" s="282"/>
      <c r="U183" s="282"/>
      <c r="V183" s="282"/>
      <c r="W183" s="282"/>
      <c r="X183" s="282"/>
      <c r="Y183" s="282"/>
      <c r="Z183" s="282"/>
      <c r="AA183" s="282"/>
      <c r="AB183" s="282"/>
      <c r="AC183" s="282"/>
      <c r="AD183" s="282"/>
      <c r="AE183" s="282"/>
      <c r="AF183" s="282"/>
      <c r="AG183" s="282"/>
      <c r="AH183" s="282"/>
      <c r="AI183" s="282"/>
      <c r="AJ183" s="282"/>
      <c r="AK183" s="282"/>
      <c r="AL183" s="282"/>
      <c r="AM183" s="282"/>
      <c r="AN183" s="282"/>
      <c r="AO183" s="282"/>
    </row>
    <row r="184" spans="1:41" s="278" customFormat="1" ht="8.25" customHeight="1">
      <c r="A184" s="283"/>
      <c r="B184" s="292"/>
      <c r="C184" s="292"/>
      <c r="D184" s="233"/>
      <c r="E184" s="292"/>
      <c r="F184" s="292"/>
      <c r="G184" s="292"/>
      <c r="H184" s="292"/>
      <c r="I184" s="283"/>
      <c r="J184" s="292"/>
      <c r="K184" s="292"/>
      <c r="L184" s="233"/>
      <c r="M184" s="292"/>
      <c r="N184" s="292"/>
      <c r="O184" s="292"/>
      <c r="P184" s="292"/>
      <c r="Q184" s="265"/>
      <c r="R184" s="265"/>
      <c r="S184" s="282"/>
      <c r="T184" s="282"/>
      <c r="U184" s="282"/>
      <c r="V184" s="282"/>
      <c r="W184" s="282"/>
      <c r="X184" s="282"/>
      <c r="Y184" s="282"/>
      <c r="Z184" s="282"/>
      <c r="AA184" s="282"/>
      <c r="AB184" s="282"/>
      <c r="AC184" s="282"/>
      <c r="AD184" s="282"/>
      <c r="AE184" s="282"/>
      <c r="AF184" s="282"/>
      <c r="AG184" s="282"/>
      <c r="AH184" s="282"/>
      <c r="AI184" s="282"/>
      <c r="AJ184" s="282"/>
      <c r="AK184" s="282"/>
      <c r="AL184" s="282"/>
      <c r="AM184" s="282"/>
      <c r="AN184" s="282"/>
      <c r="AO184" s="282"/>
    </row>
    <row r="185" spans="1:41" s="278" customFormat="1" ht="13.5" customHeight="1">
      <c r="A185" s="289"/>
      <c r="B185" s="290"/>
      <c r="H185" s="284" t="s">
        <v>839</v>
      </c>
      <c r="I185" s="289"/>
      <c r="P185" s="284" t="s">
        <v>839</v>
      </c>
      <c r="Q185" s="265"/>
      <c r="R185" s="265"/>
    </row>
    <row r="186" spans="1:41" ht="18">
      <c r="A186" s="226" t="s">
        <v>717</v>
      </c>
      <c r="B186" s="227"/>
      <c r="C186" s="227"/>
      <c r="D186" s="227"/>
      <c r="E186" s="227"/>
      <c r="F186" s="227"/>
      <c r="G186" s="227"/>
      <c r="H186" s="227"/>
      <c r="I186" s="226" t="s">
        <v>718</v>
      </c>
      <c r="J186" s="228"/>
      <c r="K186" s="228"/>
      <c r="L186" s="227"/>
      <c r="M186" s="228"/>
      <c r="N186" s="228"/>
      <c r="O186" s="228"/>
      <c r="P186" s="228"/>
      <c r="Q186" s="265"/>
      <c r="R186" s="265"/>
    </row>
    <row r="187" spans="1:41" ht="13">
      <c r="A187" s="232"/>
      <c r="B187" s="228"/>
      <c r="C187" s="228"/>
      <c r="D187" s="228"/>
      <c r="E187" s="228"/>
      <c r="F187" s="228"/>
      <c r="G187" s="228"/>
      <c r="H187" s="228"/>
      <c r="I187" s="232"/>
      <c r="J187" s="228"/>
      <c r="K187" s="228"/>
      <c r="L187" s="228"/>
      <c r="M187" s="228"/>
      <c r="N187" s="228"/>
      <c r="O187" s="228"/>
      <c r="P187" s="228"/>
      <c r="Q187" s="265"/>
      <c r="R187" s="265"/>
    </row>
    <row r="188" spans="1:41" ht="15.5">
      <c r="A188" s="234" t="s">
        <v>687</v>
      </c>
      <c r="B188" s="228"/>
      <c r="C188" s="228"/>
      <c r="D188" s="228"/>
      <c r="E188" s="228"/>
      <c r="F188" s="228"/>
      <c r="G188" s="228"/>
      <c r="H188" s="228"/>
      <c r="I188" s="234" t="s">
        <v>688</v>
      </c>
      <c r="J188" s="228"/>
      <c r="K188" s="228"/>
      <c r="L188" s="228"/>
      <c r="M188" s="228"/>
      <c r="N188" s="228"/>
      <c r="O188" s="228"/>
      <c r="P188" s="228"/>
      <c r="Q188" s="265"/>
      <c r="R188" s="265"/>
    </row>
    <row r="189" spans="1:41" ht="15.5">
      <c r="A189" s="234" t="s">
        <v>770</v>
      </c>
      <c r="B189" s="228"/>
      <c r="C189" s="228"/>
      <c r="D189" s="228"/>
      <c r="E189" s="228"/>
      <c r="F189" s="228"/>
      <c r="G189" s="228"/>
      <c r="H189" s="228"/>
      <c r="I189" s="234" t="s">
        <v>770</v>
      </c>
      <c r="J189" s="228"/>
      <c r="K189" s="228"/>
      <c r="L189" s="228"/>
      <c r="M189" s="228"/>
      <c r="N189" s="228"/>
      <c r="O189" s="228"/>
      <c r="P189" s="228"/>
      <c r="Q189" s="265"/>
      <c r="R189" s="265"/>
    </row>
    <row r="190" spans="1:41">
      <c r="A190" s="237"/>
      <c r="B190" s="238"/>
      <c r="C190" s="238"/>
      <c r="D190" s="238"/>
      <c r="E190" s="238"/>
      <c r="F190" s="238"/>
      <c r="G190" s="238"/>
      <c r="H190" s="238"/>
      <c r="I190" s="239"/>
      <c r="L190" s="240"/>
      <c r="P190" s="237"/>
      <c r="Q190" s="265"/>
      <c r="R190" s="265"/>
    </row>
    <row r="191" spans="1:41" s="247" customFormat="1">
      <c r="A191" s="242"/>
      <c r="B191" s="243" t="s">
        <v>689</v>
      </c>
      <c r="C191" s="243"/>
      <c r="D191" s="243"/>
      <c r="E191" s="243"/>
      <c r="F191" s="243"/>
      <c r="G191" s="243"/>
      <c r="H191" s="244"/>
      <c r="I191" s="242"/>
      <c r="J191" s="243" t="s">
        <v>689</v>
      </c>
      <c r="K191" s="243"/>
      <c r="L191" s="243"/>
      <c r="M191" s="243"/>
      <c r="N191" s="243"/>
      <c r="O191" s="243"/>
      <c r="P191" s="244"/>
      <c r="Q191" s="265"/>
      <c r="R191" s="265"/>
    </row>
    <row r="192" spans="1:41" s="247" customFormat="1">
      <c r="A192" s="242"/>
      <c r="B192" s="243" t="s">
        <v>690</v>
      </c>
      <c r="C192" s="243"/>
      <c r="D192" s="485" t="s">
        <v>691</v>
      </c>
      <c r="E192" s="483"/>
      <c r="F192" s="483"/>
      <c r="G192" s="483"/>
      <c r="H192" s="250" t="s">
        <v>581</v>
      </c>
      <c r="I192" s="242"/>
      <c r="J192" s="243" t="s">
        <v>690</v>
      </c>
      <c r="K192" s="243"/>
      <c r="L192" s="485" t="s">
        <v>691</v>
      </c>
      <c r="M192" s="483"/>
      <c r="N192" s="483"/>
      <c r="O192" s="483"/>
      <c r="P192" s="250" t="s">
        <v>581</v>
      </c>
      <c r="Q192" s="265"/>
      <c r="R192" s="265"/>
    </row>
    <row r="193" spans="1:41" s="247" customFormat="1" ht="40.5" customHeight="1">
      <c r="A193" s="242"/>
      <c r="B193" s="251" t="s">
        <v>692</v>
      </c>
      <c r="C193" s="252" t="s">
        <v>693</v>
      </c>
      <c r="D193" s="253" t="s">
        <v>694</v>
      </c>
      <c r="E193" s="254" t="s">
        <v>8</v>
      </c>
      <c r="F193" s="251" t="s">
        <v>695</v>
      </c>
      <c r="G193" s="255" t="s">
        <v>704</v>
      </c>
      <c r="H193" s="256" t="s">
        <v>697</v>
      </c>
      <c r="I193" s="242"/>
      <c r="J193" s="251" t="s">
        <v>692</v>
      </c>
      <c r="K193" s="252" t="s">
        <v>693</v>
      </c>
      <c r="L193" s="253" t="s">
        <v>694</v>
      </c>
      <c r="M193" s="254" t="s">
        <v>8</v>
      </c>
      <c r="N193" s="251" t="s">
        <v>695</v>
      </c>
      <c r="O193" s="255" t="s">
        <v>704</v>
      </c>
      <c r="P193" s="256" t="s">
        <v>697</v>
      </c>
      <c r="Q193" s="265"/>
      <c r="R193" s="265"/>
      <c r="T193" s="285"/>
    </row>
    <row r="194" spans="1:41" ht="15.75" customHeight="1">
      <c r="A194" s="286" t="s">
        <v>666</v>
      </c>
      <c r="B194" s="260">
        <f>('Pivot Table for Data Exchange'!$H$6)*100</f>
        <v>16.440155147665152</v>
      </c>
      <c r="C194" s="260">
        <f>('Pivot Table for Data Exchange'!$H$9)*100</f>
        <v>2.6066640197904896</v>
      </c>
      <c r="D194" s="261">
        <f>SUM(E194:G194)</f>
        <v>80.953180832544362</v>
      </c>
      <c r="E194" s="260">
        <f>('Pivot Table for Data Exchange'!$H$12)*100</f>
        <v>80.953180832544362</v>
      </c>
      <c r="F194" s="260">
        <f>('Pivot Table for Data Exchange'!$H$15)*100</f>
        <v>0</v>
      </c>
      <c r="G194" s="264">
        <f>('Pivot Table for Data Exchange'!$H$18)*100</f>
        <v>0</v>
      </c>
      <c r="H194" s="260">
        <f>('Pivot Table for Data Exchange'!$H$21)*100</f>
        <v>0</v>
      </c>
      <c r="I194" s="263" t="s">
        <v>666</v>
      </c>
      <c r="J194" s="260">
        <f>('Pivot Table for Data Exchange'!$H$24)*100</f>
        <v>1.2626262626262625</v>
      </c>
      <c r="K194" s="260">
        <f>('Pivot Table for Data Exchange'!$H$27)*100</f>
        <v>0</v>
      </c>
      <c r="L194" s="261">
        <f>SUM(M194:O194)</f>
        <v>98.73737373737373</v>
      </c>
      <c r="M194" s="260">
        <f>('Pivot Table for Data Exchange'!$H$30)*100</f>
        <v>98.73737373737373</v>
      </c>
      <c r="N194" s="260">
        <f>('Pivot Table for Data Exchange'!$H$33)*100</f>
        <v>0</v>
      </c>
      <c r="O194" s="264">
        <f>('Pivot Table for Data Exchange'!$H$36)*100</f>
        <v>0</v>
      </c>
      <c r="P194" s="260">
        <f>('Pivot Table for Data Exchange'!$H$39)*100</f>
        <v>0</v>
      </c>
      <c r="Q194" s="265">
        <f t="shared" si="34"/>
        <v>100</v>
      </c>
      <c r="R194" s="265">
        <f t="shared" si="35"/>
        <v>99.999999999999986</v>
      </c>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row>
    <row r="195" spans="1:41" ht="15.75" customHeight="1">
      <c r="A195" s="231" t="s">
        <v>667</v>
      </c>
      <c r="B195" s="260">
        <f>('Pivot Table for Data Exchange'!$H$42)*100</f>
        <v>71.463441069996321</v>
      </c>
      <c r="C195" s="260">
        <f>('Pivot Table for Data Exchange'!$H$45)*100</f>
        <v>5.4531659838286615</v>
      </c>
      <c r="D195" s="261">
        <f t="shared" ref="D195:D197" si="48">SUM(E195:G195)</f>
        <v>23.083392946175024</v>
      </c>
      <c r="E195" s="260">
        <f>('Pivot Table for Data Exchange'!$H$48)*100</f>
        <v>23.083392946175024</v>
      </c>
      <c r="F195" s="260">
        <f>('Pivot Table for Data Exchange'!$H$51)*100</f>
        <v>0</v>
      </c>
      <c r="G195" s="268">
        <f>('Pivot Table for Data Exchange'!$H$54)*100</f>
        <v>0</v>
      </c>
      <c r="H195" s="260">
        <f>('Pivot Table for Data Exchange'!$H$57)*100</f>
        <v>0</v>
      </c>
      <c r="I195" s="266" t="s">
        <v>667</v>
      </c>
      <c r="J195" s="260">
        <f>('Pivot Table for Data Exchange'!$H$60)*100</f>
        <v>67.285382830626446</v>
      </c>
      <c r="K195" s="260">
        <f>('Pivot Table for Data Exchange'!$H$63)*100</f>
        <v>0</v>
      </c>
      <c r="L195" s="261">
        <f t="shared" ref="L195:L197" si="49">SUM(M195:O195)</f>
        <v>32.714617169373547</v>
      </c>
      <c r="M195" s="260">
        <f>('Pivot Table for Data Exchange'!$H$66)*100</f>
        <v>32.714617169373547</v>
      </c>
      <c r="N195" s="260">
        <f>('Pivot Table for Data Exchange'!$H$69)*100</f>
        <v>0</v>
      </c>
      <c r="O195" s="268">
        <f>('Pivot Table for Data Exchange'!$H$72)*100</f>
        <v>0</v>
      </c>
      <c r="P195" s="260">
        <f>('Pivot Table for Data Exchange'!$H$75)*100</f>
        <v>0</v>
      </c>
      <c r="Q195" s="265">
        <f t="shared" si="34"/>
        <v>100</v>
      </c>
      <c r="R195" s="265">
        <f t="shared" si="35"/>
        <v>100</v>
      </c>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row>
    <row r="196" spans="1:41" ht="15.75" customHeight="1">
      <c r="A196" s="231" t="s">
        <v>668</v>
      </c>
      <c r="B196" s="260">
        <f>('Pivot Table for Data Exchange'!$H$78)*100</f>
        <v>0</v>
      </c>
      <c r="C196" s="260">
        <f>('Pivot Table for Data Exchange'!$H$81)*100</f>
        <v>0</v>
      </c>
      <c r="D196" s="261">
        <f t="shared" si="48"/>
        <v>0</v>
      </c>
      <c r="E196" s="260">
        <f>('Pivot Table for Data Exchange'!$H$84)*100</f>
        <v>0</v>
      </c>
      <c r="F196" s="260">
        <f>('Pivot Table for Data Exchange'!$H$87)*100</f>
        <v>0</v>
      </c>
      <c r="G196" s="268">
        <f>('Pivot Table for Data Exchange'!$H$90)*100</f>
        <v>0</v>
      </c>
      <c r="H196" s="260">
        <f>('Pivot Table for Data Exchange'!$H$93)*100</f>
        <v>0</v>
      </c>
      <c r="I196" s="266" t="s">
        <v>668</v>
      </c>
      <c r="J196" s="260">
        <f>('Pivot Table for Data Exchange'!$H$96)*100</f>
        <v>0</v>
      </c>
      <c r="K196" s="260">
        <f>('Pivot Table for Data Exchange'!$H$99)*100</f>
        <v>0</v>
      </c>
      <c r="L196" s="261">
        <f t="shared" si="49"/>
        <v>0</v>
      </c>
      <c r="M196" s="260">
        <f>('Pivot Table for Data Exchange'!$H$102)*100</f>
        <v>0</v>
      </c>
      <c r="N196" s="260">
        <f>('Pivot Table for Data Exchange'!$H$105)*100</f>
        <v>0</v>
      </c>
      <c r="O196" s="268">
        <f>('Pivot Table for Data Exchange'!$H$108)*100</f>
        <v>0</v>
      </c>
      <c r="P196" s="260">
        <f>('Pivot Table for Data Exchange'!$H$111)*100</f>
        <v>0</v>
      </c>
      <c r="Q196" s="265">
        <f t="shared" si="34"/>
        <v>0</v>
      </c>
      <c r="R196" s="265">
        <f t="shared" si="35"/>
        <v>0</v>
      </c>
      <c r="S196" s="266"/>
      <c r="T196" s="240"/>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row>
    <row r="197" spans="1:41" ht="15.75" customHeight="1">
      <c r="A197" s="231" t="s">
        <v>705</v>
      </c>
      <c r="B197" s="260">
        <f>('Pivot Table for Data Exchange'!$H$114)*100</f>
        <v>0</v>
      </c>
      <c r="C197" s="260">
        <f>('Pivot Table for Data Exchange'!$H$117)*100</f>
        <v>0</v>
      </c>
      <c r="D197" s="261">
        <f t="shared" si="48"/>
        <v>0</v>
      </c>
      <c r="E197" s="260">
        <f>('Pivot Table for Data Exchange'!$H$120)*100</f>
        <v>0</v>
      </c>
      <c r="F197" s="260">
        <f>('Pivot Table for Data Exchange'!$H$123)*100</f>
        <v>0</v>
      </c>
      <c r="G197" s="268">
        <f>('Pivot Table for Data Exchange'!$H$126)*100</f>
        <v>0</v>
      </c>
      <c r="H197" s="260">
        <f>('Pivot Table for Data Exchange'!$H$129)*100</f>
        <v>0</v>
      </c>
      <c r="I197" s="266" t="s">
        <v>669</v>
      </c>
      <c r="J197" s="260">
        <f>('Pivot Table for Data Exchange'!$H$132)*100</f>
        <v>0</v>
      </c>
      <c r="K197" s="260">
        <f>('Pivot Table for Data Exchange'!$H$135)*100</f>
        <v>0</v>
      </c>
      <c r="L197" s="261">
        <f t="shared" si="49"/>
        <v>0</v>
      </c>
      <c r="M197" s="260">
        <f>('Pivot Table for Data Exchange'!$H$138)*100</f>
        <v>0</v>
      </c>
      <c r="N197" s="260">
        <f>('Pivot Table for Data Exchange'!$H$141)*100</f>
        <v>0</v>
      </c>
      <c r="O197" s="268">
        <f>('Pivot Table for Data Exchange'!$H$144)*100</f>
        <v>0</v>
      </c>
      <c r="P197" s="260">
        <f>('Pivot Table for Data Exchange'!$H$147)*100</f>
        <v>0</v>
      </c>
      <c r="Q197" s="265">
        <f t="shared" si="34"/>
        <v>0</v>
      </c>
      <c r="R197" s="265">
        <f t="shared" si="35"/>
        <v>0</v>
      </c>
      <c r="S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row>
    <row r="198" spans="1:41" ht="15.75" customHeight="1">
      <c r="B198" s="260"/>
      <c r="C198" s="260"/>
      <c r="D198" s="261"/>
      <c r="E198" s="260"/>
      <c r="F198" s="260"/>
      <c r="G198" s="268"/>
      <c r="H198" s="260"/>
      <c r="I198" s="266"/>
      <c r="J198" s="260"/>
      <c r="K198" s="260"/>
      <c r="L198" s="261"/>
      <c r="M198" s="260"/>
      <c r="N198" s="260"/>
      <c r="O198" s="268"/>
      <c r="P198" s="260"/>
      <c r="Q198" s="265">
        <f t="shared" si="34"/>
        <v>0</v>
      </c>
      <c r="R198" s="265">
        <f t="shared" si="35"/>
        <v>0</v>
      </c>
      <c r="S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row>
    <row r="199" spans="1:41" ht="15.75" customHeight="1">
      <c r="A199" s="231" t="s">
        <v>670</v>
      </c>
      <c r="B199" s="260">
        <f>('Pivot Table for Data Exchange'!$H$150)*100</f>
        <v>80.985799696866309</v>
      </c>
      <c r="C199" s="260">
        <f>('Pivot Table for Data Exchange'!$H$153)*100</f>
        <v>2.4880452351523217</v>
      </c>
      <c r="D199" s="261">
        <f t="shared" ref="D199:D202" si="50">SUM(E199:G199)</f>
        <v>16.526155067981364</v>
      </c>
      <c r="E199" s="260">
        <f>('Pivot Table for Data Exchange'!$H$156)*100</f>
        <v>16.377720233334639</v>
      </c>
      <c r="F199" s="260">
        <f>('Pivot Table for Data Exchange'!$H$159)*100</f>
        <v>0.14843483464672622</v>
      </c>
      <c r="G199" s="268">
        <f>('Pivot Table for Data Exchange'!$H$162)*100</f>
        <v>0</v>
      </c>
      <c r="H199" s="260">
        <f>('Pivot Table for Data Exchange'!$H$165)*100</f>
        <v>0</v>
      </c>
      <c r="I199" s="266" t="s">
        <v>670</v>
      </c>
      <c r="J199" s="260">
        <f>('Pivot Table for Data Exchange'!$H$168)*100</f>
        <v>9.4806265457543279</v>
      </c>
      <c r="K199" s="260">
        <f>('Pivot Table for Data Exchange'!$H$171)*100</f>
        <v>2.3083264633140974</v>
      </c>
      <c r="L199" s="261">
        <f t="shared" ref="L199:L202" si="51">SUM(M199:O199)</f>
        <v>88.211046990931578</v>
      </c>
      <c r="M199" s="260">
        <f>('Pivot Table for Data Exchange'!$H$174)*100</f>
        <v>88.211046990931578</v>
      </c>
      <c r="N199" s="260">
        <f>('Pivot Table for Data Exchange'!$H$177)*100</f>
        <v>0</v>
      </c>
      <c r="O199" s="268">
        <f>('Pivot Table for Data Exchange'!$H$180)*100</f>
        <v>0</v>
      </c>
      <c r="P199" s="260">
        <f>('Pivot Table for Data Exchange'!$H$183)*100</f>
        <v>0</v>
      </c>
      <c r="Q199" s="265">
        <f t="shared" si="34"/>
        <v>100</v>
      </c>
      <c r="R199" s="265">
        <f t="shared" si="35"/>
        <v>100</v>
      </c>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row>
    <row r="200" spans="1:41" ht="15.75" customHeight="1">
      <c r="A200" s="231" t="s">
        <v>671</v>
      </c>
      <c r="B200" s="260">
        <f>('Pivot Table for Data Exchange'!$H$186)*100</f>
        <v>0</v>
      </c>
      <c r="C200" s="260">
        <f>('Pivot Table for Data Exchange'!$H$189)*100</f>
        <v>0</v>
      </c>
      <c r="D200" s="261">
        <f t="shared" si="50"/>
        <v>0</v>
      </c>
      <c r="E200" s="260">
        <f>('Pivot Table for Data Exchange'!$H$192)*100</f>
        <v>0</v>
      </c>
      <c r="F200" s="260">
        <f>('Pivot Table for Data Exchange'!$H$195)*100</f>
        <v>0</v>
      </c>
      <c r="G200" s="268">
        <f>('Pivot Table for Data Exchange'!$H$198)*100</f>
        <v>0</v>
      </c>
      <c r="H200" s="260">
        <f>('Pivot Table for Data Exchange'!$H$201)*100</f>
        <v>0</v>
      </c>
      <c r="I200" s="266" t="s">
        <v>671</v>
      </c>
      <c r="J200" s="260">
        <f>('Pivot Table for Data Exchange'!$H$204)*100</f>
        <v>0</v>
      </c>
      <c r="K200" s="260">
        <f>('Pivot Table for Data Exchange'!$H$207)*100</f>
        <v>0</v>
      </c>
      <c r="L200" s="261">
        <f t="shared" si="51"/>
        <v>0</v>
      </c>
      <c r="M200" s="260">
        <f>('Pivot Table for Data Exchange'!$H$210)*100</f>
        <v>0</v>
      </c>
      <c r="N200" s="260">
        <f>('Pivot Table for Data Exchange'!$H$213)*100</f>
        <v>0</v>
      </c>
      <c r="O200" s="268">
        <f>('Pivot Table for Data Exchange'!$H$216)*100</f>
        <v>0</v>
      </c>
      <c r="P200" s="260">
        <f>('Pivot Table for Data Exchange'!$H$219)*100</f>
        <v>0</v>
      </c>
      <c r="Q200" s="265">
        <f t="shared" si="34"/>
        <v>0</v>
      </c>
      <c r="R200" s="265">
        <f t="shared" si="35"/>
        <v>0</v>
      </c>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row>
    <row r="201" spans="1:41" ht="15.75" customHeight="1">
      <c r="A201" s="231" t="s">
        <v>672</v>
      </c>
      <c r="B201" s="260">
        <f>('Pivot Table for Data Exchange'!$H$222)*100</f>
        <v>62.472727272727305</v>
      </c>
      <c r="C201" s="260">
        <f>('Pivot Table for Data Exchange'!$H$225)*100</f>
        <v>0</v>
      </c>
      <c r="D201" s="261">
        <f t="shared" si="50"/>
        <v>37.527272727272702</v>
      </c>
      <c r="E201" s="260">
        <f>('Pivot Table for Data Exchange'!$H$228)*100</f>
        <v>37.527272727272702</v>
      </c>
      <c r="F201" s="260">
        <f>('Pivot Table for Data Exchange'!$H$231)*100</f>
        <v>0</v>
      </c>
      <c r="G201" s="268">
        <f>('Pivot Table for Data Exchange'!$H$234)*100</f>
        <v>0</v>
      </c>
      <c r="H201" s="260">
        <f>('Pivot Table for Data Exchange'!$H$237)*100</f>
        <v>0</v>
      </c>
      <c r="I201" s="266" t="s">
        <v>672</v>
      </c>
      <c r="J201" s="260">
        <f>('Pivot Table for Data Exchange'!$H$240)*100</f>
        <v>0</v>
      </c>
      <c r="K201" s="260">
        <f>('Pivot Table for Data Exchange'!$H$243)*100</f>
        <v>0</v>
      </c>
      <c r="L201" s="261">
        <f t="shared" si="51"/>
        <v>0</v>
      </c>
      <c r="M201" s="260">
        <f>('Pivot Table for Data Exchange'!$H$246)*100</f>
        <v>0</v>
      </c>
      <c r="N201" s="260">
        <f>('Pivot Table for Data Exchange'!$H$249)*100</f>
        <v>0</v>
      </c>
      <c r="O201" s="268">
        <f>('Pivot Table for Data Exchange'!$H$252)*100</f>
        <v>0</v>
      </c>
      <c r="P201" s="260">
        <f>('Pivot Table for Data Exchange'!$H$255)*100</f>
        <v>0</v>
      </c>
      <c r="Q201" s="265">
        <f t="shared" si="34"/>
        <v>100</v>
      </c>
      <c r="R201" s="265">
        <f t="shared" si="35"/>
        <v>0</v>
      </c>
      <c r="S201" s="266"/>
      <c r="T201" s="240"/>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row>
    <row r="202" spans="1:41" ht="15.75" customHeight="1">
      <c r="A202" s="231" t="s">
        <v>673</v>
      </c>
      <c r="B202" s="260">
        <f>('Pivot Table for Data Exchange'!$H$258)*100</f>
        <v>99.850266712418502</v>
      </c>
      <c r="C202" s="260">
        <f>('Pivot Table for Data Exchange'!$H$261)*100</f>
        <v>0</v>
      </c>
      <c r="D202" s="261">
        <f t="shared" si="50"/>
        <v>0.14973328758149546</v>
      </c>
      <c r="E202" s="260">
        <f>('Pivot Table for Data Exchange'!$H$264)*100</f>
        <v>0.14973328758149546</v>
      </c>
      <c r="F202" s="260">
        <f>('Pivot Table for Data Exchange'!$H$267)*100</f>
        <v>0</v>
      </c>
      <c r="G202" s="268">
        <f>('Pivot Table for Data Exchange'!$H$270)*100</f>
        <v>0</v>
      </c>
      <c r="H202" s="260">
        <f>('Pivot Table for Data Exchange'!$H$273)*100</f>
        <v>0</v>
      </c>
      <c r="I202" s="266" t="s">
        <v>673</v>
      </c>
      <c r="J202" s="260">
        <f>('Pivot Table for Data Exchange'!$H$276)*100</f>
        <v>100</v>
      </c>
      <c r="K202" s="260">
        <f>('Pivot Table for Data Exchange'!$H$279)*100</f>
        <v>0</v>
      </c>
      <c r="L202" s="261">
        <f t="shared" si="51"/>
        <v>0</v>
      </c>
      <c r="M202" s="260">
        <f>('Pivot Table for Data Exchange'!$H$282)*100</f>
        <v>0</v>
      </c>
      <c r="N202" s="260">
        <f>('Pivot Table for Data Exchange'!$H$285)*100</f>
        <v>0</v>
      </c>
      <c r="O202" s="268">
        <f>('Pivot Table for Data Exchange'!$H$288)*100</f>
        <v>0</v>
      </c>
      <c r="P202" s="260">
        <f>('Pivot Table for Data Exchange'!$H$291)*100</f>
        <v>0</v>
      </c>
      <c r="Q202" s="265">
        <f t="shared" si="34"/>
        <v>100</v>
      </c>
      <c r="R202" s="265">
        <f t="shared" si="35"/>
        <v>100</v>
      </c>
      <c r="S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row>
    <row r="203" spans="1:41" ht="11.25" customHeight="1">
      <c r="B203" s="260"/>
      <c r="C203" s="260"/>
      <c r="D203" s="261"/>
      <c r="E203" s="260"/>
      <c r="F203" s="260"/>
      <c r="G203" s="268"/>
      <c r="H203" s="260"/>
      <c r="I203" s="266"/>
      <c r="J203" s="260"/>
      <c r="K203" s="260"/>
      <c r="L203" s="261"/>
      <c r="M203" s="260"/>
      <c r="N203" s="260"/>
      <c r="O203" s="268"/>
      <c r="P203" s="260"/>
      <c r="Q203" s="265">
        <f t="shared" ref="Q203:Q266" si="52">SUM(B203,C203,D203,H203)</f>
        <v>0</v>
      </c>
      <c r="R203" s="265">
        <f t="shared" ref="R203:R216" si="53">SUM(J203,K203,L203,P203)</f>
        <v>0</v>
      </c>
      <c r="S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row>
    <row r="204" spans="1:41" ht="15.75" customHeight="1">
      <c r="A204" s="231" t="s">
        <v>674</v>
      </c>
      <c r="B204" s="260">
        <f>('Pivot Table for Data Exchange'!$H$294)*100</f>
        <v>0</v>
      </c>
      <c r="C204" s="260">
        <f>('Pivot Table for Data Exchange'!$H$297)*100</f>
        <v>0</v>
      </c>
      <c r="D204" s="261">
        <f t="shared" ref="D204:D206" si="54">SUM(E204:G204)</f>
        <v>0</v>
      </c>
      <c r="E204" s="260">
        <f>('Pivot Table for Data Exchange'!$H$300)*100</f>
        <v>0</v>
      </c>
      <c r="F204" s="260">
        <f>('Pivot Table for Data Exchange'!$H$303)*100</f>
        <v>0</v>
      </c>
      <c r="G204" s="268">
        <f>('Pivot Table for Data Exchange'!$H$306)*100</f>
        <v>0</v>
      </c>
      <c r="H204" s="260">
        <f>('Pivot Table for Data Exchange'!$H$309)*100</f>
        <v>0</v>
      </c>
      <c r="I204" s="266" t="s">
        <v>674</v>
      </c>
      <c r="J204" s="260">
        <f>('Pivot Table for Data Exchange'!$H$312)*100</f>
        <v>0</v>
      </c>
      <c r="K204" s="260">
        <f>('Pivot Table for Data Exchange'!$H$315)*100</f>
        <v>0</v>
      </c>
      <c r="L204" s="261">
        <f t="shared" ref="L204:L206" si="55">SUM(M204:O204)</f>
        <v>0</v>
      </c>
      <c r="M204" s="260">
        <f>('Pivot Table for Data Exchange'!$H$318)*100</f>
        <v>0</v>
      </c>
      <c r="N204" s="260">
        <f>('Pivot Table for Data Exchange'!$H$321)*100</f>
        <v>0</v>
      </c>
      <c r="O204" s="268">
        <f>('Pivot Table for Data Exchange'!$H$324)*100</f>
        <v>0</v>
      </c>
      <c r="P204" s="260">
        <f>('Pivot Table for Data Exchange'!$H$327)*100</f>
        <v>0</v>
      </c>
      <c r="Q204" s="265">
        <f t="shared" si="52"/>
        <v>0</v>
      </c>
      <c r="R204" s="265">
        <f t="shared" si="53"/>
        <v>0</v>
      </c>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row>
    <row r="205" spans="1:41" ht="15.75" customHeight="1">
      <c r="A205" s="231" t="s">
        <v>675</v>
      </c>
      <c r="B205" s="260">
        <f>('Pivot Table for Data Exchange'!$H$330)*100</f>
        <v>92.338875670697249</v>
      </c>
      <c r="C205" s="260">
        <f>('Pivot Table for Data Exchange'!$H$333)*100</f>
        <v>0.35026269702276708</v>
      </c>
      <c r="D205" s="261">
        <f t="shared" si="54"/>
        <v>7.3108616322799875</v>
      </c>
      <c r="E205" s="260">
        <f>('Pivot Table for Data Exchange'!$H$336)*100</f>
        <v>5.4151171147284769</v>
      </c>
      <c r="F205" s="260">
        <f>('Pivot Table for Data Exchange'!$H$339)*100</f>
        <v>1.8957445175515102</v>
      </c>
      <c r="G205" s="268">
        <f>('Pivot Table for Data Exchange'!$H$342)*100</f>
        <v>0</v>
      </c>
      <c r="H205" s="260">
        <f>('Pivot Table for Data Exchange'!$H$345)*100</f>
        <v>0</v>
      </c>
      <c r="I205" s="266" t="s">
        <v>675</v>
      </c>
      <c r="J205" s="260">
        <f>('Pivot Table for Data Exchange'!$H$348)*100</f>
        <v>83.673469387755105</v>
      </c>
      <c r="K205" s="260">
        <f>('Pivot Table for Data Exchange'!$H$351)*100</f>
        <v>0</v>
      </c>
      <c r="L205" s="261">
        <f t="shared" si="55"/>
        <v>16.326530612244898</v>
      </c>
      <c r="M205" s="260">
        <f>('Pivot Table for Data Exchange'!$H$354)*100</f>
        <v>16.326530612244898</v>
      </c>
      <c r="N205" s="260">
        <f>('Pivot Table for Data Exchange'!$H$357)*100</f>
        <v>0</v>
      </c>
      <c r="O205" s="268">
        <f>('Pivot Table for Data Exchange'!$H$360)*100</f>
        <v>0</v>
      </c>
      <c r="P205" s="260">
        <f>('Pivot Table for Data Exchange'!$H$363)*100</f>
        <v>0</v>
      </c>
      <c r="Q205" s="265">
        <f t="shared" si="52"/>
        <v>100</v>
      </c>
      <c r="R205" s="265">
        <f t="shared" si="53"/>
        <v>100</v>
      </c>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row>
    <row r="206" spans="1:41" ht="15.75" customHeight="1">
      <c r="A206" s="231" t="s">
        <v>676</v>
      </c>
      <c r="B206" s="260">
        <f>('Pivot Table for Data Exchange'!$H$366)*100</f>
        <v>74.092695330559408</v>
      </c>
      <c r="C206" s="260">
        <f>('Pivot Table for Data Exchange'!$H$369)*100</f>
        <v>2.3838418862690707E-2</v>
      </c>
      <c r="D206" s="261">
        <f t="shared" si="54"/>
        <v>25.8834662505779</v>
      </c>
      <c r="E206" s="260">
        <f>('Pivot Table for Data Exchange'!$H$372)*100</f>
        <v>24.698046694405917</v>
      </c>
      <c r="F206" s="260">
        <f>('Pivot Table for Data Exchange'!$H$375)*100</f>
        <v>1.1854195561719834</v>
      </c>
      <c r="G206" s="268">
        <f>('Pivot Table for Data Exchange'!$H$378)*100</f>
        <v>0</v>
      </c>
      <c r="H206" s="260">
        <f>('Pivot Table for Data Exchange'!$H$381)*100</f>
        <v>0</v>
      </c>
      <c r="I206" s="266" t="s">
        <v>676</v>
      </c>
      <c r="J206" s="260">
        <f>('Pivot Table for Data Exchange'!$H$384)*100</f>
        <v>94.77124183006535</v>
      </c>
      <c r="K206" s="260">
        <f>('Pivot Table for Data Exchange'!$H$387)*100</f>
        <v>0</v>
      </c>
      <c r="L206" s="261">
        <f t="shared" si="55"/>
        <v>5.2287581699346406</v>
      </c>
      <c r="M206" s="260">
        <f>('Pivot Table for Data Exchange'!$H$390)*100</f>
        <v>5.2287581699346406</v>
      </c>
      <c r="N206" s="260">
        <f>('Pivot Table for Data Exchange'!$H$393)*100</f>
        <v>0</v>
      </c>
      <c r="O206" s="268">
        <f>('Pivot Table for Data Exchange'!$H$396)*100</f>
        <v>0</v>
      </c>
      <c r="P206" s="260">
        <f>('Pivot Table for Data Exchange'!$H$399)*100</f>
        <v>0</v>
      </c>
      <c r="Q206" s="265">
        <f t="shared" si="52"/>
        <v>100</v>
      </c>
      <c r="R206" s="265">
        <f t="shared" si="53"/>
        <v>99.999999999999986</v>
      </c>
      <c r="S206" s="266"/>
      <c r="T206" s="240"/>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row>
    <row r="207" spans="1:41" ht="15.75" customHeight="1">
      <c r="A207" s="231" t="s">
        <v>677</v>
      </c>
      <c r="B207" s="260">
        <f>('Pivot Table for Data Exchange'!$H$402)*100</f>
        <v>75.044143763968236</v>
      </c>
      <c r="C207" s="260">
        <f>('Pivot Table for Data Exchange'!$H$405)*100</f>
        <v>3.8239655060309623</v>
      </c>
      <c r="D207" s="261">
        <f>SUM(E207:G207)</f>
        <v>21.131890730000801</v>
      </c>
      <c r="E207" s="260">
        <f>('Pivot Table for Data Exchange'!$H$408)*100</f>
        <v>21.131890730000801</v>
      </c>
      <c r="F207" s="260">
        <f>('Pivot Table for Data Exchange'!$H$411)*100</f>
        <v>0</v>
      </c>
      <c r="G207" s="268">
        <f>('Pivot Table for Data Exchange'!$H$414)*100</f>
        <v>0</v>
      </c>
      <c r="H207" s="260">
        <f>('Pivot Table for Data Exchange'!$H$417)*100</f>
        <v>0</v>
      </c>
      <c r="I207" s="266" t="s">
        <v>677</v>
      </c>
      <c r="J207" s="260">
        <f>('Pivot Table for Data Exchange'!$H$420)*100</f>
        <v>25.06177924217463</v>
      </c>
      <c r="K207" s="260">
        <f>('Pivot Table for Data Exchange'!$H$423)*100</f>
        <v>0.37067545304777594</v>
      </c>
      <c r="L207" s="261">
        <f>SUM(M207:O207)</f>
        <v>74.567545304777596</v>
      </c>
      <c r="M207" s="260">
        <f>('Pivot Table for Data Exchange'!$H$426)*100</f>
        <v>74.567545304777596</v>
      </c>
      <c r="N207" s="260">
        <f>('Pivot Table for Data Exchange'!$H$429)*100</f>
        <v>0</v>
      </c>
      <c r="O207" s="268">
        <f>('Pivot Table for Data Exchange'!$H$432)*100</f>
        <v>0</v>
      </c>
      <c r="P207" s="260">
        <f>('Pivot Table for Data Exchange'!$H$435)*100</f>
        <v>0</v>
      </c>
      <c r="Q207" s="265">
        <f t="shared" si="52"/>
        <v>100</v>
      </c>
      <c r="R207" s="265">
        <f t="shared" si="53"/>
        <v>100</v>
      </c>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row>
    <row r="208" spans="1:41" ht="11.25" customHeight="1">
      <c r="B208" s="260"/>
      <c r="C208" s="260"/>
      <c r="D208" s="261"/>
      <c r="E208" s="260"/>
      <c r="F208" s="260"/>
      <c r="G208" s="268"/>
      <c r="H208" s="260"/>
      <c r="I208" s="266"/>
      <c r="J208" s="260"/>
      <c r="K208" s="260"/>
      <c r="L208" s="261"/>
      <c r="M208" s="260"/>
      <c r="N208" s="260"/>
      <c r="O208" s="268"/>
      <c r="P208" s="260"/>
      <c r="Q208" s="265">
        <f t="shared" si="52"/>
        <v>0</v>
      </c>
      <c r="R208" s="265">
        <f t="shared" si="53"/>
        <v>0</v>
      </c>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row>
    <row r="209" spans="1:41" ht="15.75" customHeight="1">
      <c r="A209" s="231" t="s">
        <v>678</v>
      </c>
      <c r="B209" s="260">
        <f>('Pivot Table for Data Exchange'!$H$438)*100</f>
        <v>0</v>
      </c>
      <c r="C209" s="260">
        <f>('Pivot Table for Data Exchange'!$H$441)*100</f>
        <v>0</v>
      </c>
      <c r="D209" s="261">
        <f>SUM(E209:G209)</f>
        <v>0</v>
      </c>
      <c r="E209" s="260">
        <f>('Pivot Table for Data Exchange'!$H$444)*100</f>
        <v>0</v>
      </c>
      <c r="F209" s="260">
        <f>('Pivot Table for Data Exchange'!$H$447)*100</f>
        <v>0</v>
      </c>
      <c r="G209" s="268">
        <f>('Pivot Table for Data Exchange'!$H$450)*100</f>
        <v>0</v>
      </c>
      <c r="H209" s="260">
        <f>('Pivot Table for Data Exchange'!$H$453)*100</f>
        <v>0</v>
      </c>
      <c r="I209" s="266" t="s">
        <v>678</v>
      </c>
      <c r="J209" s="260">
        <f>('Pivot Table for Data Exchange'!$H$456)*100</f>
        <v>0</v>
      </c>
      <c r="K209" s="260">
        <f>('Pivot Table for Data Exchange'!$H$459)*100</f>
        <v>0</v>
      </c>
      <c r="L209" s="261">
        <f>SUM(M209:O209)</f>
        <v>0</v>
      </c>
      <c r="M209" s="260">
        <f>('Pivot Table for Data Exchange'!$H$462)*100</f>
        <v>0</v>
      </c>
      <c r="N209" s="260">
        <f>('Pivot Table for Data Exchange'!$H$465)*100</f>
        <v>0</v>
      </c>
      <c r="O209" s="268">
        <f>('Pivot Table for Data Exchange'!$H$468)*100</f>
        <v>0</v>
      </c>
      <c r="P209" s="260">
        <f>('Pivot Table for Data Exchange'!$H$471)*100</f>
        <v>0</v>
      </c>
      <c r="Q209" s="265">
        <f t="shared" si="52"/>
        <v>0</v>
      </c>
      <c r="R209" s="265">
        <f t="shared" si="53"/>
        <v>0</v>
      </c>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row>
    <row r="210" spans="1:41" ht="15.75" customHeight="1">
      <c r="A210" s="231" t="s">
        <v>679</v>
      </c>
      <c r="B210" s="260">
        <f>('Pivot Table for Data Exchange'!$H$474)*100</f>
        <v>0</v>
      </c>
      <c r="C210" s="260">
        <f>('Pivot Table for Data Exchange'!$H$477)*100</f>
        <v>0</v>
      </c>
      <c r="D210" s="261">
        <f>SUM(E210:G210)</f>
        <v>0</v>
      </c>
      <c r="E210" s="260">
        <f>('Pivot Table for Data Exchange'!$H$480)*100</f>
        <v>0</v>
      </c>
      <c r="F210" s="260">
        <f>('Pivot Table for Data Exchange'!$H$483)*100</f>
        <v>0</v>
      </c>
      <c r="G210" s="267">
        <f>('Pivot Table for Data Exchange'!$H$486)*100</f>
        <v>0</v>
      </c>
      <c r="H210" s="260">
        <f>('Pivot Table for Data Exchange'!$H$489)*100</f>
        <v>0</v>
      </c>
      <c r="I210" s="266" t="s">
        <v>679</v>
      </c>
      <c r="J210" s="260">
        <f>('Pivot Table for Data Exchange'!$H$492)*100</f>
        <v>0</v>
      </c>
      <c r="K210" s="260">
        <f>('Pivot Table for Data Exchange'!$H$495)*100</f>
        <v>0</v>
      </c>
      <c r="L210" s="261">
        <f>SUM(M210:O210)</f>
        <v>0</v>
      </c>
      <c r="M210" s="260">
        <f>('Pivot Table for Data Exchange'!$H$498)*100</f>
        <v>0</v>
      </c>
      <c r="N210" s="260">
        <f>('Pivot Table for Data Exchange'!$H$501)*100</f>
        <v>0</v>
      </c>
      <c r="O210" s="268">
        <f>('Pivot Table for Data Exchange'!$H$504)*100</f>
        <v>0</v>
      </c>
      <c r="P210" s="260">
        <f>('Pivot Table for Data Exchange'!$H$507)*100</f>
        <v>0</v>
      </c>
      <c r="Q210" s="265">
        <f t="shared" si="52"/>
        <v>0</v>
      </c>
      <c r="R210" s="265">
        <f t="shared" si="53"/>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row>
    <row r="211" spans="1:41" ht="15.75" customHeight="1">
      <c r="A211" s="231" t="s">
        <v>680</v>
      </c>
      <c r="B211" s="260">
        <f>('Pivot Table for Data Exchange'!$H$510)*100</f>
        <v>75.147290502190472</v>
      </c>
      <c r="C211" s="260">
        <f>('Pivot Table for Data Exchange'!$H$513)*100</f>
        <v>0</v>
      </c>
      <c r="D211" s="261">
        <f t="shared" ref="D211" si="56">SUM(E211:G211)</f>
        <v>24.852709497809524</v>
      </c>
      <c r="E211" s="260">
        <f>('Pivot Table for Data Exchange'!$H$516)*100</f>
        <v>24.852709497809524</v>
      </c>
      <c r="F211" s="260">
        <f>('Pivot Table for Data Exchange'!$H$519)*100</f>
        <v>0</v>
      </c>
      <c r="G211" s="268">
        <f>('Pivot Table for Data Exchange'!$H$522)*100</f>
        <v>0</v>
      </c>
      <c r="H211" s="260">
        <f>('Pivot Table for Data Exchange'!$H$525)*100</f>
        <v>0</v>
      </c>
      <c r="I211" s="266" t="s">
        <v>680</v>
      </c>
      <c r="J211" s="260">
        <f>('Pivot Table for Data Exchange'!$H$528)*100</f>
        <v>0</v>
      </c>
      <c r="K211" s="260">
        <f>('Pivot Table for Data Exchange'!$H$531)*100</f>
        <v>0</v>
      </c>
      <c r="L211" s="261">
        <f t="shared" ref="L211" si="57">SUM(M211:O211)</f>
        <v>0</v>
      </c>
      <c r="M211" s="260">
        <f>('Pivot Table for Data Exchange'!$H$534)*100</f>
        <v>0</v>
      </c>
      <c r="N211" s="260">
        <f>('Pivot Table for Data Exchange'!$H$537)*100</f>
        <v>0</v>
      </c>
      <c r="O211" s="268">
        <f>('Pivot Table for Data Exchange'!$H$540)*100</f>
        <v>0</v>
      </c>
      <c r="P211" s="260">
        <f>('Pivot Table for Data Exchange'!$H$543)*100</f>
        <v>0</v>
      </c>
      <c r="Q211" s="265">
        <f t="shared" si="52"/>
        <v>100</v>
      </c>
      <c r="R211" s="265">
        <f t="shared" si="53"/>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row>
    <row r="212" spans="1:41" ht="15.75" customHeight="1">
      <c r="A212" s="237" t="s">
        <v>681</v>
      </c>
      <c r="B212" s="273">
        <f>('Pivot Table for Data Exchange'!$H$546)*100</f>
        <v>59.485954454798474</v>
      </c>
      <c r="C212" s="273">
        <f>('Pivot Table for Data Exchange'!$H$549)*100</f>
        <v>12.432532930690614</v>
      </c>
      <c r="D212" s="274">
        <f>SUM(E212:G212)</f>
        <v>28.08151261451091</v>
      </c>
      <c r="E212" s="273">
        <f>('Pivot Table for Data Exchange'!$H$552)*100</f>
        <v>27.613891173786154</v>
      </c>
      <c r="F212" s="273">
        <f>('Pivot Table for Data Exchange'!$H$555)*100</f>
        <v>0.46762144072475686</v>
      </c>
      <c r="G212" s="296">
        <f>('Pivot Table for Data Exchange'!$H$558)*100</f>
        <v>0</v>
      </c>
      <c r="H212" s="273">
        <f>('Pivot Table for Data Exchange'!$H$561)*100</f>
        <v>0</v>
      </c>
      <c r="I212" s="276" t="s">
        <v>681</v>
      </c>
      <c r="J212" s="273">
        <f>('Pivot Table for Data Exchange'!$H$564)*100</f>
        <v>70.963541666666657</v>
      </c>
      <c r="K212" s="273">
        <f>('Pivot Table for Data Exchange'!$H$567)*100</f>
        <v>0.13020833333333331</v>
      </c>
      <c r="L212" s="274">
        <f>SUM(M212:O212)</f>
        <v>28.90625</v>
      </c>
      <c r="M212" s="273">
        <f>('Pivot Table for Data Exchange'!$H$570)*100</f>
        <v>28.90625</v>
      </c>
      <c r="N212" s="273">
        <f>('Pivot Table for Data Exchange'!$H$573)*100</f>
        <v>0</v>
      </c>
      <c r="O212" s="275">
        <f>('Pivot Table for Data Exchange'!$H$576)*100</f>
        <v>0</v>
      </c>
      <c r="P212" s="273">
        <f>('Pivot Table for Data Exchange'!$H$579)*100</f>
        <v>0</v>
      </c>
      <c r="Q212" s="265">
        <f t="shared" si="52"/>
        <v>100</v>
      </c>
      <c r="R212" s="265">
        <f t="shared" si="53"/>
        <v>99.999999999999986</v>
      </c>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row>
    <row r="213" spans="1:41" s="278" customFormat="1" ht="12" customHeight="1">
      <c r="A213" s="279" t="s">
        <v>706</v>
      </c>
      <c r="B213" s="280"/>
      <c r="C213" s="280"/>
      <c r="D213" s="281"/>
      <c r="E213" s="280"/>
      <c r="F213" s="281"/>
      <c r="G213" s="281"/>
      <c r="H213" s="280"/>
      <c r="I213" s="279" t="s">
        <v>706</v>
      </c>
      <c r="J213" s="280"/>
      <c r="K213" s="280"/>
      <c r="L213" s="281"/>
      <c r="M213" s="280"/>
      <c r="N213" s="281"/>
      <c r="O213" s="281"/>
      <c r="P213" s="280"/>
      <c r="Q213" s="265">
        <f t="shared" si="52"/>
        <v>0</v>
      </c>
      <c r="R213" s="265">
        <f t="shared" si="53"/>
        <v>0</v>
      </c>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row>
    <row r="214" spans="1:41" s="278" customFormat="1" ht="22.5" customHeight="1">
      <c r="A214" s="490" t="s">
        <v>712</v>
      </c>
      <c r="B214" s="503"/>
      <c r="C214" s="503"/>
      <c r="D214" s="503"/>
      <c r="E214" s="503"/>
      <c r="F214" s="503"/>
      <c r="G214" s="503"/>
      <c r="H214" s="503"/>
      <c r="I214" s="490"/>
      <c r="J214" s="503"/>
      <c r="K214" s="503"/>
      <c r="L214" s="503"/>
      <c r="M214" s="503"/>
      <c r="N214" s="503"/>
      <c r="O214" s="503"/>
      <c r="P214" s="503"/>
      <c r="Q214" s="265">
        <f t="shared" si="52"/>
        <v>0</v>
      </c>
      <c r="R214" s="265">
        <f t="shared" si="53"/>
        <v>0</v>
      </c>
    </row>
    <row r="215" spans="1:41" s="278" customFormat="1" ht="10.5" customHeight="1">
      <c r="A215" s="283"/>
      <c r="B215" s="292"/>
      <c r="C215" s="292"/>
      <c r="D215" s="233"/>
      <c r="E215" s="292"/>
      <c r="F215" s="292"/>
      <c r="G215" s="292"/>
      <c r="H215" s="292"/>
      <c r="I215" s="283"/>
      <c r="J215" s="292"/>
      <c r="K215" s="292"/>
      <c r="L215" s="233"/>
      <c r="M215" s="292"/>
      <c r="N215" s="292"/>
      <c r="O215" s="292"/>
      <c r="P215" s="292"/>
      <c r="Q215" s="265"/>
      <c r="R215" s="265"/>
    </row>
    <row r="216" spans="1:41" s="278" customFormat="1">
      <c r="H216" s="284" t="s">
        <v>839</v>
      </c>
      <c r="P216" s="284" t="s">
        <v>839</v>
      </c>
      <c r="Q216" s="265">
        <f t="shared" si="52"/>
        <v>0</v>
      </c>
      <c r="R216" s="265">
        <f t="shared" si="53"/>
        <v>0</v>
      </c>
    </row>
    <row r="217" spans="1:41" ht="18">
      <c r="A217" s="226" t="s">
        <v>719</v>
      </c>
      <c r="B217" s="227"/>
      <c r="C217" s="227"/>
      <c r="D217" s="227"/>
      <c r="E217" s="227"/>
      <c r="F217" s="227"/>
      <c r="G217" s="227"/>
      <c r="H217" s="227"/>
      <c r="I217" s="231"/>
      <c r="Q217" s="265">
        <f t="shared" si="52"/>
        <v>0</v>
      </c>
    </row>
    <row r="218" spans="1:41" ht="13">
      <c r="A218" s="232"/>
      <c r="B218" s="228"/>
      <c r="C218" s="228"/>
      <c r="D218" s="228"/>
      <c r="E218" s="228"/>
      <c r="F218" s="228"/>
      <c r="G218" s="228"/>
      <c r="H218" s="228"/>
      <c r="I218" s="231"/>
      <c r="Q218" s="265">
        <f t="shared" si="52"/>
        <v>0</v>
      </c>
    </row>
    <row r="219" spans="1:41" ht="15.5">
      <c r="A219" s="234" t="s">
        <v>687</v>
      </c>
      <c r="B219" s="228"/>
      <c r="C219" s="228"/>
      <c r="D219" s="228"/>
      <c r="E219" s="228"/>
      <c r="F219" s="228"/>
      <c r="G219" s="228"/>
      <c r="H219" s="228"/>
      <c r="L219" s="228"/>
      <c r="Q219" s="265">
        <f t="shared" si="52"/>
        <v>0</v>
      </c>
    </row>
    <row r="220" spans="1:41" ht="15.5">
      <c r="A220" s="234" t="s">
        <v>771</v>
      </c>
      <c r="B220" s="228"/>
      <c r="C220" s="228"/>
      <c r="D220" s="228"/>
      <c r="E220" s="228"/>
      <c r="F220" s="228"/>
      <c r="G220" s="228"/>
      <c r="H220" s="228"/>
      <c r="Q220" s="265">
        <f t="shared" si="52"/>
        <v>0</v>
      </c>
    </row>
    <row r="221" spans="1:41">
      <c r="A221" s="237"/>
      <c r="B221" s="238"/>
      <c r="C221" s="238"/>
      <c r="D221" s="238"/>
      <c r="E221" s="238"/>
      <c r="F221" s="238"/>
      <c r="G221" s="238"/>
      <c r="H221" s="238"/>
      <c r="Q221" s="265">
        <f t="shared" si="52"/>
        <v>0</v>
      </c>
    </row>
    <row r="222" spans="1:41">
      <c r="A222" s="242"/>
      <c r="B222" s="243" t="s">
        <v>689</v>
      </c>
      <c r="C222" s="243"/>
      <c r="D222" s="243"/>
      <c r="E222" s="243"/>
      <c r="F222" s="243"/>
      <c r="G222" s="243"/>
      <c r="H222" s="244"/>
      <c r="Q222" s="265">
        <f t="shared" si="52"/>
        <v>0</v>
      </c>
    </row>
    <row r="223" spans="1:41">
      <c r="A223" s="242"/>
      <c r="B223" s="243" t="s">
        <v>690</v>
      </c>
      <c r="C223" s="243"/>
      <c r="D223" s="485" t="s">
        <v>691</v>
      </c>
      <c r="E223" s="483"/>
      <c r="F223" s="483"/>
      <c r="G223" s="483"/>
      <c r="H223" s="250" t="s">
        <v>581</v>
      </c>
      <c r="Q223" s="265">
        <f t="shared" si="52"/>
        <v>0</v>
      </c>
    </row>
    <row r="224" spans="1:41" ht="34.5">
      <c r="A224" s="242"/>
      <c r="B224" s="251" t="s">
        <v>692</v>
      </c>
      <c r="C224" s="252" t="s">
        <v>693</v>
      </c>
      <c r="D224" s="253" t="s">
        <v>694</v>
      </c>
      <c r="E224" s="254" t="s">
        <v>8</v>
      </c>
      <c r="F224" s="251" t="s">
        <v>695</v>
      </c>
      <c r="G224" s="255" t="s">
        <v>704</v>
      </c>
      <c r="H224" s="256" t="s">
        <v>697</v>
      </c>
      <c r="I224" s="285"/>
      <c r="J224" s="247"/>
      <c r="K224" s="247"/>
      <c r="L224" s="247"/>
      <c r="M224" s="247"/>
      <c r="N224" s="247"/>
      <c r="O224" s="247"/>
      <c r="Q224" s="265">
        <f t="shared" si="52"/>
        <v>0</v>
      </c>
    </row>
    <row r="225" spans="1:41" ht="15.75" customHeight="1">
      <c r="A225" s="286" t="s">
        <v>666</v>
      </c>
      <c r="B225" s="260">
        <f>('Pivot Table for Data Exchange'!$O$6)*100</f>
        <v>60.513902746995605</v>
      </c>
      <c r="C225" s="260">
        <f>('Pivot Table for Data Exchange'!$O$9)*100</f>
        <v>10.461600044738384</v>
      </c>
      <c r="D225" s="261">
        <f>SUM(E225:G225)</f>
        <v>29.024497208266002</v>
      </c>
      <c r="E225" s="260">
        <f>('Pivot Table for Data Exchange'!$O$12)*100</f>
        <v>28.498821202461787</v>
      </c>
      <c r="F225" s="260">
        <f>('Pivot Table for Data Exchange'!$O$15)*100</f>
        <v>0.3252951408817582</v>
      </c>
      <c r="G225" s="264">
        <f>('Pivot Table for Data Exchange'!$O$18)*100</f>
        <v>0.20038086492245835</v>
      </c>
      <c r="H225" s="287">
        <f>('Pivot Table for Data Exchange'!$O$21)*100</f>
        <v>0</v>
      </c>
      <c r="I225" s="298"/>
      <c r="J225" s="298"/>
      <c r="K225" s="298"/>
      <c r="L225" s="298"/>
      <c r="M225" s="298"/>
      <c r="N225" s="298"/>
      <c r="O225" s="298"/>
      <c r="P225" s="299"/>
      <c r="Q225" s="265">
        <f t="shared" si="52"/>
        <v>99.999999999999986</v>
      </c>
      <c r="R225" s="265"/>
      <c r="Z225" s="266"/>
      <c r="AA225" s="266"/>
      <c r="AB225" s="266"/>
      <c r="AC225" s="266"/>
      <c r="AD225" s="266"/>
      <c r="AE225" s="266"/>
      <c r="AF225" s="266"/>
      <c r="AG225" s="266"/>
      <c r="AH225" s="266"/>
      <c r="AI225" s="266"/>
      <c r="AJ225" s="266"/>
      <c r="AK225" s="266"/>
      <c r="AL225" s="266"/>
      <c r="AM225" s="266"/>
      <c r="AN225" s="266"/>
      <c r="AO225" s="266"/>
    </row>
    <row r="226" spans="1:41" ht="15.75" customHeight="1">
      <c r="A226" s="231" t="s">
        <v>667</v>
      </c>
      <c r="B226" s="260">
        <f>('Pivot Table for Data Exchange'!$O$42)*100</f>
        <v>61.306314086631218</v>
      </c>
      <c r="C226" s="260">
        <f>('Pivot Table for Data Exchange'!$O$45)*100</f>
        <v>11.162237650290258</v>
      </c>
      <c r="D226" s="261">
        <f t="shared" ref="D226:D228" si="58">SUM(E226:G226)</f>
        <v>27.371573971875605</v>
      </c>
      <c r="E226" s="260">
        <f>('Pivot Table for Data Exchange'!$O$48)*100</f>
        <v>26.298478350619696</v>
      </c>
      <c r="F226" s="260">
        <f>('Pivot Table for Data Exchange'!$O$51)*100</f>
        <v>1.0730956212559084</v>
      </c>
      <c r="G226" s="271">
        <f>('Pivot Table for Data Exchange'!$O$54)*100</f>
        <v>0</v>
      </c>
      <c r="H226" s="269">
        <f>('Pivot Table for Data Exchange'!$O$57)*100</f>
        <v>0.15987429120291186</v>
      </c>
      <c r="I226" s="298"/>
      <c r="J226" s="298"/>
      <c r="K226" s="298"/>
      <c r="L226" s="298"/>
      <c r="M226" s="298"/>
      <c r="N226" s="298"/>
      <c r="O226" s="298"/>
      <c r="P226" s="299"/>
      <c r="Q226" s="265">
        <f t="shared" si="52"/>
        <v>100</v>
      </c>
      <c r="R226" s="265"/>
      <c r="Z226" s="266"/>
      <c r="AA226" s="266"/>
      <c r="AB226" s="266"/>
      <c r="AC226" s="266"/>
      <c r="AD226" s="266"/>
      <c r="AE226" s="266"/>
      <c r="AF226" s="266"/>
      <c r="AG226" s="266"/>
      <c r="AH226" s="266"/>
      <c r="AI226" s="266"/>
      <c r="AJ226" s="266"/>
      <c r="AK226" s="266"/>
      <c r="AL226" s="266"/>
      <c r="AM226" s="266"/>
      <c r="AN226" s="266"/>
      <c r="AO226" s="266"/>
    </row>
    <row r="227" spans="1:41" ht="15.75" customHeight="1">
      <c r="A227" s="231" t="s">
        <v>668</v>
      </c>
      <c r="B227" s="260">
        <f>('Pivot Table for Data Exchange'!$O$78)*100</f>
        <v>80.386420543015547</v>
      </c>
      <c r="C227" s="260">
        <f>('Pivot Table for Data Exchange'!$O$81)*100</f>
        <v>0</v>
      </c>
      <c r="D227" s="261">
        <f t="shared" si="58"/>
        <v>19.613579456984453</v>
      </c>
      <c r="E227" s="260">
        <f>('Pivot Table for Data Exchange'!$O$84)*100</f>
        <v>19.027365290943454</v>
      </c>
      <c r="F227" s="260">
        <f>('Pivot Table for Data Exchange'!$O$87)*100</f>
        <v>0.38020704270671907</v>
      </c>
      <c r="G227" s="268">
        <f>('Pivot Table for Data Exchange'!$O$90)*100</f>
        <v>0.20600712333428262</v>
      </c>
      <c r="H227" s="260">
        <f>('Pivot Table for Data Exchange'!$O$93)*100</f>
        <v>0</v>
      </c>
      <c r="I227" s="298"/>
      <c r="J227" s="298"/>
      <c r="K227" s="298"/>
      <c r="L227" s="298"/>
      <c r="M227" s="298"/>
      <c r="N227" s="298"/>
      <c r="O227" s="298"/>
      <c r="P227" s="299"/>
      <c r="Q227" s="265">
        <f t="shared" si="52"/>
        <v>100</v>
      </c>
      <c r="R227" s="265"/>
      <c r="Z227" s="266"/>
      <c r="AA227" s="266"/>
      <c r="AB227" s="266"/>
      <c r="AC227" s="266"/>
      <c r="AD227" s="266"/>
      <c r="AE227" s="266"/>
      <c r="AF227" s="266"/>
      <c r="AG227" s="266"/>
      <c r="AH227" s="266"/>
      <c r="AI227" s="266"/>
      <c r="AJ227" s="266"/>
      <c r="AK227" s="266"/>
      <c r="AL227" s="266"/>
      <c r="AM227" s="266"/>
      <c r="AN227" s="266"/>
      <c r="AO227" s="266"/>
    </row>
    <row r="228" spans="1:41" ht="15.75" customHeight="1">
      <c r="A228" s="231" t="s">
        <v>705</v>
      </c>
      <c r="B228" s="260">
        <f>('Pivot Table for Data Exchange'!$O$114)*100</f>
        <v>67.874404844007202</v>
      </c>
      <c r="C228" s="260">
        <f>('Pivot Table for Data Exchange'!$O$117)*100</f>
        <v>3.7815552718998604</v>
      </c>
      <c r="D228" s="261">
        <f t="shared" si="58"/>
        <v>28.309738787946344</v>
      </c>
      <c r="E228" s="260">
        <f>('Pivot Table for Data Exchange'!$O$120)*100</f>
        <v>27.883582675068723</v>
      </c>
      <c r="F228" s="260">
        <f>('Pivot Table for Data Exchange'!$O$123)*100</f>
        <v>9.7247080685638216E-3</v>
      </c>
      <c r="G228" s="268">
        <f>('Pivot Table for Data Exchange'!$O$126)*100</f>
        <v>0.41643140480905555</v>
      </c>
      <c r="H228" s="272">
        <f>('Pivot Table for Data Exchange'!$O$129)*100</f>
        <v>3.4301096146600964E-2</v>
      </c>
      <c r="I228" s="298"/>
      <c r="J228" s="298"/>
      <c r="K228" s="298"/>
      <c r="L228" s="298"/>
      <c r="M228" s="298"/>
      <c r="N228" s="298"/>
      <c r="O228" s="298"/>
      <c r="P228" s="299"/>
      <c r="Q228" s="265">
        <f t="shared" si="52"/>
        <v>100.00000000000001</v>
      </c>
      <c r="R228" s="265"/>
      <c r="Z228" s="266"/>
      <c r="AA228" s="266"/>
      <c r="AB228" s="266"/>
      <c r="AC228" s="266"/>
      <c r="AD228" s="266"/>
      <c r="AE228" s="266"/>
      <c r="AF228" s="266"/>
      <c r="AG228" s="266"/>
      <c r="AH228" s="266"/>
      <c r="AI228" s="266"/>
      <c r="AJ228" s="266"/>
      <c r="AK228" s="266"/>
      <c r="AL228" s="266"/>
      <c r="AM228" s="266"/>
      <c r="AN228" s="266"/>
      <c r="AO228" s="266"/>
    </row>
    <row r="229" spans="1:41" ht="15.75" customHeight="1">
      <c r="B229" s="260"/>
      <c r="C229" s="260"/>
      <c r="D229" s="261"/>
      <c r="E229" s="260"/>
      <c r="F229" s="260"/>
      <c r="G229" s="268"/>
      <c r="H229" s="260"/>
      <c r="I229" s="298"/>
      <c r="J229" s="298"/>
      <c r="K229" s="298"/>
      <c r="L229" s="298"/>
      <c r="M229" s="298"/>
      <c r="N229" s="298"/>
      <c r="O229" s="298"/>
      <c r="P229" s="299"/>
      <c r="Q229" s="265">
        <f t="shared" si="52"/>
        <v>0</v>
      </c>
      <c r="R229" s="265"/>
      <c r="Z229" s="266"/>
      <c r="AA229" s="266"/>
      <c r="AB229" s="266"/>
      <c r="AC229" s="266"/>
      <c r="AD229" s="266"/>
      <c r="AE229" s="266"/>
      <c r="AF229" s="266"/>
      <c r="AG229" s="266"/>
      <c r="AH229" s="266"/>
      <c r="AI229" s="266"/>
      <c r="AJ229" s="266"/>
      <c r="AK229" s="266"/>
      <c r="AL229" s="266"/>
      <c r="AM229" s="266"/>
      <c r="AN229" s="266"/>
      <c r="AO229" s="266"/>
    </row>
    <row r="230" spans="1:41" ht="15.75" customHeight="1">
      <c r="A230" s="231" t="s">
        <v>670</v>
      </c>
      <c r="B230" s="260">
        <f>('Pivot Table for Data Exchange'!$O$150)*100</f>
        <v>54.1787580719011</v>
      </c>
      <c r="C230" s="260">
        <f>('Pivot Table for Data Exchange'!$O$153)*100</f>
        <v>17.809811010941473</v>
      </c>
      <c r="D230" s="261">
        <f t="shared" ref="D230:D233" si="59">SUM(E230:G230)</f>
        <v>28.011430917157426</v>
      </c>
      <c r="E230" s="260">
        <f>('Pivot Table for Data Exchange'!$O$156)*100</f>
        <v>28.011430917157426</v>
      </c>
      <c r="F230" s="260">
        <f>('Pivot Table for Data Exchange'!$O$159)*100</f>
        <v>0</v>
      </c>
      <c r="G230" s="268">
        <f>('Pivot Table for Data Exchange'!$O$162)*100</f>
        <v>0</v>
      </c>
      <c r="H230" s="260">
        <f>('Pivot Table for Data Exchange'!$O$165)*100</f>
        <v>0</v>
      </c>
      <c r="I230" s="298"/>
      <c r="J230" s="298"/>
      <c r="K230" s="298"/>
      <c r="L230" s="298"/>
      <c r="M230" s="298"/>
      <c r="N230" s="298"/>
      <c r="O230" s="298"/>
      <c r="P230" s="299"/>
      <c r="Q230" s="265">
        <f t="shared" si="52"/>
        <v>100</v>
      </c>
      <c r="R230" s="265"/>
      <c r="Z230" s="266"/>
      <c r="AA230" s="266"/>
      <c r="AB230" s="266"/>
      <c r="AC230" s="266"/>
      <c r="AD230" s="266"/>
      <c r="AE230" s="266"/>
      <c r="AF230" s="266"/>
      <c r="AG230" s="266"/>
      <c r="AH230" s="266"/>
      <c r="AI230" s="266"/>
      <c r="AJ230" s="266"/>
      <c r="AK230" s="266"/>
      <c r="AL230" s="266"/>
      <c r="AM230" s="266"/>
      <c r="AN230" s="266"/>
      <c r="AO230" s="266"/>
    </row>
    <row r="231" spans="1:41" ht="15.75" customHeight="1">
      <c r="A231" s="231" t="s">
        <v>671</v>
      </c>
      <c r="B231" s="260">
        <f>('Pivot Table for Data Exchange'!$O$186)*100</f>
        <v>51.20811500988308</v>
      </c>
      <c r="C231" s="260">
        <f>('Pivot Table for Data Exchange'!$O$189)*100</f>
        <v>5.1535442005333412</v>
      </c>
      <c r="D231" s="261">
        <f t="shared" si="59"/>
        <v>43.63834078958358</v>
      </c>
      <c r="E231" s="260">
        <f>('Pivot Table for Data Exchange'!$O$192)*100</f>
        <v>43.63834078958358</v>
      </c>
      <c r="F231" s="260">
        <f>('Pivot Table for Data Exchange'!$O$195)*100</f>
        <v>0</v>
      </c>
      <c r="G231" s="268">
        <f>('Pivot Table for Data Exchange'!$O$198)*100</f>
        <v>0</v>
      </c>
      <c r="H231" s="260">
        <f>('Pivot Table for Data Exchange'!$O$201)*100</f>
        <v>0</v>
      </c>
      <c r="I231" s="298"/>
      <c r="J231" s="298"/>
      <c r="K231" s="298"/>
      <c r="L231" s="298"/>
      <c r="M231" s="298"/>
      <c r="N231" s="298"/>
      <c r="O231" s="298"/>
      <c r="P231" s="299"/>
      <c r="Q231" s="265">
        <f t="shared" si="52"/>
        <v>100</v>
      </c>
      <c r="R231" s="265"/>
      <c r="Z231" s="266"/>
      <c r="AA231" s="266"/>
      <c r="AB231" s="266"/>
      <c r="AC231" s="266"/>
      <c r="AD231" s="266"/>
      <c r="AE231" s="266"/>
      <c r="AF231" s="266"/>
      <c r="AG231" s="266"/>
      <c r="AH231" s="266"/>
      <c r="AI231" s="266"/>
      <c r="AJ231" s="266"/>
      <c r="AK231" s="266"/>
      <c r="AL231" s="266"/>
      <c r="AM231" s="266"/>
      <c r="AN231" s="266"/>
      <c r="AO231" s="266"/>
    </row>
    <row r="232" spans="1:41" ht="15.75" customHeight="1">
      <c r="A232" s="231" t="s">
        <v>672</v>
      </c>
      <c r="B232" s="260">
        <f>('Pivot Table for Data Exchange'!$O$222)*100</f>
        <v>77.871986602603187</v>
      </c>
      <c r="C232" s="260">
        <f>('Pivot Table for Data Exchange'!$O$225)*100</f>
        <v>0</v>
      </c>
      <c r="D232" s="261">
        <f t="shared" si="59"/>
        <v>22.12801339739681</v>
      </c>
      <c r="E232" s="260">
        <f>('Pivot Table for Data Exchange'!$O$228)*100</f>
        <v>22.12801339739681</v>
      </c>
      <c r="F232" s="260">
        <f>('Pivot Table for Data Exchange'!$O$231)*100</f>
        <v>0</v>
      </c>
      <c r="G232" s="268">
        <f>('Pivot Table for Data Exchange'!$O$234)*100</f>
        <v>0</v>
      </c>
      <c r="H232" s="260">
        <f>('Pivot Table for Data Exchange'!$O$237)*100</f>
        <v>0</v>
      </c>
      <c r="I232" s="298"/>
      <c r="J232" s="298"/>
      <c r="K232" s="298"/>
      <c r="L232" s="298"/>
      <c r="M232" s="298"/>
      <c r="N232" s="298"/>
      <c r="O232" s="298"/>
      <c r="P232" s="299"/>
      <c r="Q232" s="265">
        <f t="shared" si="52"/>
        <v>100</v>
      </c>
      <c r="R232" s="265"/>
      <c r="Z232" s="266"/>
      <c r="AA232" s="266"/>
      <c r="AB232" s="266"/>
      <c r="AC232" s="266"/>
      <c r="AD232" s="266"/>
      <c r="AE232" s="266"/>
      <c r="AF232" s="266"/>
      <c r="AG232" s="266"/>
      <c r="AH232" s="266"/>
      <c r="AI232" s="266"/>
      <c r="AJ232" s="266"/>
      <c r="AK232" s="266"/>
      <c r="AL232" s="266"/>
      <c r="AM232" s="266"/>
      <c r="AN232" s="266"/>
      <c r="AO232" s="266"/>
    </row>
    <row r="233" spans="1:41" ht="15.75" customHeight="1">
      <c r="A233" s="231" t="s">
        <v>673</v>
      </c>
      <c r="B233" s="260">
        <f>('Pivot Table for Data Exchange'!$O$258)*100</f>
        <v>65.770702048154959</v>
      </c>
      <c r="C233" s="260">
        <f>('Pivot Table for Data Exchange'!$O$261)*100</f>
        <v>14.059826510390911</v>
      </c>
      <c r="D233" s="261">
        <f t="shared" si="59"/>
        <v>20.165730711304903</v>
      </c>
      <c r="E233" s="260">
        <f>('Pivot Table for Data Exchange'!$O$264)*100</f>
        <v>20.066757226106759</v>
      </c>
      <c r="F233" s="260">
        <f>('Pivot Table for Data Exchange'!$O$267)*100</f>
        <v>9.8973485198145125E-2</v>
      </c>
      <c r="G233" s="267">
        <f>('Pivot Table for Data Exchange'!$O$270)*100</f>
        <v>0</v>
      </c>
      <c r="H233" s="269">
        <f>('Pivot Table for Data Exchange'!$O$273)*100</f>
        <v>3.7407301492212329E-3</v>
      </c>
      <c r="I233" s="298"/>
      <c r="J233" s="298"/>
      <c r="K233" s="298"/>
      <c r="L233" s="298"/>
      <c r="M233" s="298"/>
      <c r="N233" s="298"/>
      <c r="O233" s="298"/>
      <c r="P233" s="299"/>
      <c r="Q233" s="265">
        <f t="shared" si="52"/>
        <v>99.999999999999986</v>
      </c>
      <c r="R233" s="265"/>
      <c r="Z233" s="266"/>
      <c r="AA233" s="266"/>
      <c r="AB233" s="266"/>
      <c r="AC233" s="266"/>
      <c r="AD233" s="266"/>
      <c r="AE233" s="266"/>
      <c r="AF233" s="266"/>
      <c r="AG233" s="266"/>
      <c r="AH233" s="266"/>
      <c r="AI233" s="266"/>
      <c r="AJ233" s="266"/>
      <c r="AK233" s="266"/>
      <c r="AL233" s="266"/>
      <c r="AM233" s="266"/>
      <c r="AN233" s="266"/>
      <c r="AO233" s="266"/>
    </row>
    <row r="234" spans="1:41" ht="15.75" customHeight="1">
      <c r="B234" s="260"/>
      <c r="C234" s="260"/>
      <c r="D234" s="261"/>
      <c r="E234" s="260"/>
      <c r="F234" s="260"/>
      <c r="G234" s="268"/>
      <c r="H234" s="260"/>
      <c r="I234" s="298"/>
      <c r="J234" s="298"/>
      <c r="K234" s="298"/>
      <c r="L234" s="298"/>
      <c r="M234" s="298"/>
      <c r="N234" s="298"/>
      <c r="O234" s="298"/>
      <c r="P234" s="299"/>
      <c r="Q234" s="265">
        <f t="shared" si="52"/>
        <v>0</v>
      </c>
      <c r="R234" s="265"/>
      <c r="Z234" s="266"/>
      <c r="AA234" s="266"/>
      <c r="AB234" s="266"/>
      <c r="AC234" s="266"/>
      <c r="AD234" s="266"/>
      <c r="AE234" s="266"/>
      <c r="AF234" s="266"/>
      <c r="AG234" s="266"/>
      <c r="AH234" s="266"/>
      <c r="AI234" s="266"/>
      <c r="AJ234" s="266"/>
      <c r="AK234" s="266"/>
      <c r="AL234" s="266"/>
      <c r="AM234" s="266"/>
      <c r="AN234" s="266"/>
      <c r="AO234" s="266"/>
    </row>
    <row r="235" spans="1:41" ht="15.75" customHeight="1">
      <c r="A235" s="231" t="s">
        <v>720</v>
      </c>
      <c r="B235" s="260">
        <f>('Pivot Table for Data Exchange'!$O$294)*100</f>
        <v>68.84067244114641</v>
      </c>
      <c r="C235" s="260">
        <f>('Pivot Table for Data Exchange'!$O$297)*100</f>
        <v>3.9433125067263921</v>
      </c>
      <c r="D235" s="261">
        <f t="shared" ref="D235:D237" si="60">SUM(E235:G235)</f>
        <v>27.216015052127201</v>
      </c>
      <c r="E235" s="260">
        <f>('Pivot Table for Data Exchange'!$O$300)*100</f>
        <v>27.216015052127201</v>
      </c>
      <c r="F235" s="260">
        <f>('Pivot Table for Data Exchange'!$O$303)*100</f>
        <v>0</v>
      </c>
      <c r="G235" s="268">
        <f>('Pivot Table for Data Exchange'!$O$306)*100</f>
        <v>0</v>
      </c>
      <c r="H235" s="260">
        <f>('Pivot Table for Data Exchange'!$O$309)*100</f>
        <v>0</v>
      </c>
      <c r="I235" s="298"/>
      <c r="J235" s="298"/>
      <c r="K235" s="298"/>
      <c r="L235" s="298"/>
      <c r="M235" s="298"/>
      <c r="N235" s="298"/>
      <c r="O235" s="298"/>
      <c r="P235" s="299"/>
      <c r="Q235" s="265">
        <f t="shared" si="52"/>
        <v>100</v>
      </c>
      <c r="R235" s="265"/>
      <c r="Z235" s="266"/>
      <c r="AA235" s="266"/>
      <c r="AB235" s="266"/>
      <c r="AC235" s="266"/>
      <c r="AD235" s="266"/>
      <c r="AE235" s="266"/>
      <c r="AF235" s="266"/>
      <c r="AG235" s="266"/>
      <c r="AH235" s="266"/>
      <c r="AI235" s="266"/>
      <c r="AJ235" s="266"/>
      <c r="AK235" s="266"/>
      <c r="AL235" s="266"/>
      <c r="AM235" s="266"/>
      <c r="AN235" s="266"/>
      <c r="AO235" s="266"/>
    </row>
    <row r="236" spans="1:41" ht="15.75" customHeight="1">
      <c r="A236" s="231" t="s">
        <v>675</v>
      </c>
      <c r="B236" s="260">
        <f>('Pivot Table for Data Exchange'!$O$330)*100</f>
        <v>48.379667970456211</v>
      </c>
      <c r="C236" s="260">
        <f>('Pivot Table for Data Exchange'!$O$333)*100</f>
        <v>3.5490408069043919</v>
      </c>
      <c r="D236" s="261">
        <f t="shared" si="60"/>
        <v>48.071291222639402</v>
      </c>
      <c r="E236" s="260">
        <f>('Pivot Table for Data Exchange'!$O$336)*100</f>
        <v>47.741035750687509</v>
      </c>
      <c r="F236" s="260">
        <f>('Pivot Table for Data Exchange'!$O$339)*100</f>
        <v>0.31679854270427532</v>
      </c>
      <c r="G236" s="268">
        <f>('Pivot Table for Data Exchange'!$O$342)*100</f>
        <v>1.3456929247615237E-2</v>
      </c>
      <c r="H236" s="260">
        <f>('Pivot Table for Data Exchange'!$O$345)*100</f>
        <v>0</v>
      </c>
      <c r="I236" s="298"/>
      <c r="J236" s="298"/>
      <c r="K236" s="298"/>
      <c r="L236" s="298"/>
      <c r="M236" s="298"/>
      <c r="N236" s="298"/>
      <c r="O236" s="298"/>
      <c r="P236" s="299"/>
      <c r="Q236" s="265">
        <f t="shared" si="52"/>
        <v>100</v>
      </c>
      <c r="R236" s="265"/>
      <c r="Z236" s="266"/>
      <c r="AA236" s="266"/>
      <c r="AB236" s="266"/>
      <c r="AC236" s="266"/>
      <c r="AD236" s="266"/>
      <c r="AE236" s="266"/>
      <c r="AF236" s="266"/>
      <c r="AG236" s="266"/>
      <c r="AH236" s="266"/>
      <c r="AI236" s="266"/>
      <c r="AJ236" s="266"/>
      <c r="AK236" s="266"/>
      <c r="AL236" s="266"/>
      <c r="AM236" s="266"/>
      <c r="AN236" s="266"/>
      <c r="AO236" s="266"/>
    </row>
    <row r="237" spans="1:41" ht="15.75" customHeight="1">
      <c r="A237" s="231" t="s">
        <v>676</v>
      </c>
      <c r="B237" s="260">
        <f>('Pivot Table for Data Exchange'!$O$366)*100</f>
        <v>67.558822605472315</v>
      </c>
      <c r="C237" s="260">
        <f>('Pivot Table for Data Exchange'!$O$369)*100</f>
        <v>2.5918857789086798</v>
      </c>
      <c r="D237" s="261">
        <f t="shared" si="60"/>
        <v>29.849291615619013</v>
      </c>
      <c r="E237" s="260">
        <f>('Pivot Table for Data Exchange'!$O$372)*100</f>
        <v>27.490889956962899</v>
      </c>
      <c r="F237" s="260">
        <f>('Pivot Table for Data Exchange'!$O$375)*100</f>
        <v>2.0945245499952878</v>
      </c>
      <c r="G237" s="268">
        <f>('Pivot Table for Data Exchange'!$O$378)*100</f>
        <v>0.2638771086608237</v>
      </c>
      <c r="H237" s="272">
        <f>('Pivot Table for Data Exchange'!$O$381)*100</f>
        <v>0</v>
      </c>
      <c r="I237" s="298"/>
      <c r="J237" s="298"/>
      <c r="K237" s="298"/>
      <c r="L237" s="298"/>
      <c r="M237" s="298"/>
      <c r="N237" s="298"/>
      <c r="O237" s="298"/>
      <c r="P237" s="299"/>
      <c r="Q237" s="265">
        <f t="shared" si="52"/>
        <v>100</v>
      </c>
      <c r="R237" s="265"/>
      <c r="Z237" s="266"/>
      <c r="AA237" s="266"/>
      <c r="AB237" s="266"/>
      <c r="AC237" s="266"/>
      <c r="AD237" s="266"/>
      <c r="AE237" s="266"/>
      <c r="AF237" s="266"/>
      <c r="AG237" s="266"/>
      <c r="AH237" s="266"/>
      <c r="AI237" s="266"/>
      <c r="AJ237" s="266"/>
      <c r="AK237" s="266"/>
      <c r="AL237" s="266"/>
      <c r="AM237" s="266"/>
      <c r="AN237" s="266"/>
      <c r="AO237" s="266"/>
    </row>
    <row r="238" spans="1:41" ht="15.75" customHeight="1">
      <c r="A238" s="231" t="s">
        <v>677</v>
      </c>
      <c r="B238" s="260">
        <f>('Pivot Table for Data Exchange'!$O$402)*100</f>
        <v>58.167573416969873</v>
      </c>
      <c r="C238" s="260">
        <f>('Pivot Table for Data Exchange'!$O$405)*100</f>
        <v>8.0801081222359024</v>
      </c>
      <c r="D238" s="261">
        <f>SUM(E238:G238)</f>
        <v>33.752318460794221</v>
      </c>
      <c r="E238" s="260">
        <f>('Pivot Table for Data Exchange'!$O$408)*100</f>
        <v>32.921512794235312</v>
      </c>
      <c r="F238" s="260">
        <f>('Pivot Table for Data Exchange'!$O$411)*100</f>
        <v>0.8308056665589113</v>
      </c>
      <c r="G238" s="268">
        <f>('Pivot Table for Data Exchange'!$O$414)*100</f>
        <v>0</v>
      </c>
      <c r="H238" s="260">
        <f>('Pivot Table for Data Exchange'!$O$417)*100</f>
        <v>0</v>
      </c>
      <c r="I238" s="298"/>
      <c r="J238" s="298"/>
      <c r="K238" s="298"/>
      <c r="L238" s="298"/>
      <c r="M238" s="298"/>
      <c r="N238" s="298"/>
      <c r="O238" s="298"/>
      <c r="P238" s="299"/>
      <c r="Q238" s="265">
        <f t="shared" si="52"/>
        <v>100</v>
      </c>
      <c r="R238" s="265"/>
      <c r="Z238" s="266"/>
      <c r="AA238" s="266"/>
      <c r="AB238" s="266"/>
      <c r="AC238" s="266"/>
      <c r="AD238" s="266"/>
      <c r="AE238" s="266"/>
      <c r="AF238" s="266"/>
      <c r="AG238" s="266"/>
      <c r="AH238" s="266"/>
      <c r="AI238" s="266"/>
      <c r="AJ238" s="266"/>
      <c r="AK238" s="266"/>
      <c r="AL238" s="266"/>
      <c r="AM238" s="266"/>
      <c r="AN238" s="266"/>
      <c r="AO238" s="266"/>
    </row>
    <row r="239" spans="1:41" ht="10.5" customHeight="1">
      <c r="B239" s="260"/>
      <c r="C239" s="260"/>
      <c r="D239" s="261"/>
      <c r="E239" s="260"/>
      <c r="F239" s="260"/>
      <c r="G239" s="268"/>
      <c r="H239" s="260"/>
      <c r="I239" s="298"/>
      <c r="J239" s="298"/>
      <c r="K239" s="298"/>
      <c r="L239" s="298"/>
      <c r="M239" s="298"/>
      <c r="N239" s="298"/>
      <c r="O239" s="298"/>
      <c r="P239" s="299"/>
      <c r="Q239" s="265">
        <f t="shared" si="52"/>
        <v>0</v>
      </c>
      <c r="R239" s="265"/>
      <c r="Z239" s="266"/>
      <c r="AA239" s="266"/>
      <c r="AB239" s="266"/>
      <c r="AC239" s="266"/>
      <c r="AD239" s="266"/>
      <c r="AE239" s="266"/>
      <c r="AF239" s="266"/>
      <c r="AG239" s="266"/>
      <c r="AH239" s="266"/>
      <c r="AI239" s="266"/>
      <c r="AJ239" s="266"/>
      <c r="AK239" s="266"/>
      <c r="AL239" s="266"/>
      <c r="AM239" s="266"/>
      <c r="AN239" s="266"/>
      <c r="AO239" s="266"/>
    </row>
    <row r="240" spans="1:41" ht="15.75" customHeight="1">
      <c r="A240" s="231" t="s">
        <v>678</v>
      </c>
      <c r="B240" s="260">
        <f>('Pivot Table for Data Exchange'!$O$438)*100</f>
        <v>37.44692714234025</v>
      </c>
      <c r="C240" s="260">
        <f>('Pivot Table for Data Exchange'!$O$441)*100</f>
        <v>33.383376139605787</v>
      </c>
      <c r="D240" s="261">
        <f>SUM(E240:G240)</f>
        <v>28.994477694274238</v>
      </c>
      <c r="E240" s="260">
        <f>('Pivot Table for Data Exchange'!$O$444)*100</f>
        <v>22.217404456993041</v>
      </c>
      <c r="F240" s="260">
        <f>('Pivot Table for Data Exchange'!$O$447)*100</f>
        <v>1.5480843945927671</v>
      </c>
      <c r="G240" s="268">
        <f>('Pivot Table for Data Exchange'!$O$450)*100</f>
        <v>5.2289888426884321</v>
      </c>
      <c r="H240" s="260">
        <f>('Pivot Table for Data Exchange'!$O$453)*100</f>
        <v>0.17521902377972465</v>
      </c>
      <c r="I240" s="298"/>
      <c r="J240" s="298"/>
      <c r="K240" s="298"/>
      <c r="L240" s="298"/>
      <c r="M240" s="298"/>
      <c r="N240" s="298"/>
      <c r="O240" s="298"/>
      <c r="P240" s="299"/>
      <c r="Q240" s="265">
        <f t="shared" si="52"/>
        <v>100</v>
      </c>
      <c r="R240" s="265"/>
      <c r="Z240" s="266"/>
      <c r="AA240" s="266"/>
      <c r="AB240" s="266"/>
      <c r="AC240" s="266"/>
      <c r="AD240" s="266"/>
      <c r="AE240" s="266"/>
      <c r="AF240" s="266"/>
      <c r="AG240" s="266"/>
      <c r="AH240" s="266"/>
      <c r="AI240" s="266"/>
      <c r="AJ240" s="266"/>
      <c r="AK240" s="266"/>
      <c r="AL240" s="266"/>
      <c r="AM240" s="266"/>
      <c r="AN240" s="266"/>
      <c r="AO240" s="266"/>
    </row>
    <row r="241" spans="1:41" ht="15.75" customHeight="1">
      <c r="A241" s="231" t="s">
        <v>679</v>
      </c>
      <c r="B241" s="260">
        <f>('Pivot Table for Data Exchange'!$O$474)*100</f>
        <v>0</v>
      </c>
      <c r="C241" s="260">
        <f>('Pivot Table for Data Exchange'!$O$477)*100</f>
        <v>0</v>
      </c>
      <c r="D241" s="261">
        <f>SUM(E241:G241)</f>
        <v>0</v>
      </c>
      <c r="E241" s="260">
        <f>('Pivot Table for Data Exchange'!$O$480)*100</f>
        <v>0</v>
      </c>
      <c r="F241" s="260">
        <f>('Pivot Table for Data Exchange'!$O$483)*100</f>
        <v>0</v>
      </c>
      <c r="G241" s="268">
        <f>('Pivot Table for Data Exchange'!$O$486)*100</f>
        <v>0</v>
      </c>
      <c r="H241" s="260">
        <f>('Pivot Table for Data Exchange'!$O$489)*100</f>
        <v>0</v>
      </c>
      <c r="I241" s="298"/>
      <c r="J241" s="298"/>
      <c r="K241" s="298"/>
      <c r="L241" s="298"/>
      <c r="M241" s="298"/>
      <c r="N241" s="298"/>
      <c r="O241" s="298"/>
      <c r="P241" s="299"/>
      <c r="Q241" s="265">
        <f t="shared" si="52"/>
        <v>0</v>
      </c>
      <c r="R241" s="265"/>
      <c r="Z241" s="266"/>
      <c r="AA241" s="266"/>
      <c r="AB241" s="266"/>
      <c r="AC241" s="266"/>
      <c r="AD241" s="266"/>
      <c r="AE241" s="266"/>
      <c r="AF241" s="266"/>
      <c r="AG241" s="266"/>
      <c r="AH241" s="266"/>
      <c r="AI241" s="266"/>
      <c r="AJ241" s="266"/>
      <c r="AK241" s="266"/>
      <c r="AL241" s="266"/>
      <c r="AM241" s="266"/>
      <c r="AN241" s="266"/>
      <c r="AO241" s="266"/>
    </row>
    <row r="242" spans="1:41" ht="15.75" customHeight="1">
      <c r="A242" s="231" t="s">
        <v>680</v>
      </c>
      <c r="B242" s="260">
        <f>('Pivot Table for Data Exchange'!$O$510)*100</f>
        <v>53.209196976480811</v>
      </c>
      <c r="C242" s="260">
        <f>('Pivot Table for Data Exchange'!$O$513)*100</f>
        <v>15.506070741921041</v>
      </c>
      <c r="D242" s="261">
        <f t="shared" ref="D242" si="61">SUM(E242:G242)</f>
        <v>31.284732281598146</v>
      </c>
      <c r="E242" s="260">
        <f>('Pivot Table for Data Exchange'!$O$516)*100</f>
        <v>29.008006531644238</v>
      </c>
      <c r="F242" s="260">
        <f>('Pivot Table for Data Exchange'!$O$519)*100</f>
        <v>2.2767257499539095</v>
      </c>
      <c r="G242" s="268">
        <f>('Pivot Table for Data Exchange'!$O$522)*100</f>
        <v>0</v>
      </c>
      <c r="H242" s="260">
        <f>('Pivot Table for Data Exchange'!$O$525)*100</f>
        <v>0</v>
      </c>
      <c r="I242" s="298"/>
      <c r="J242" s="298"/>
      <c r="K242" s="298"/>
      <c r="L242" s="298"/>
      <c r="M242" s="298"/>
      <c r="N242" s="298"/>
      <c r="O242" s="298"/>
      <c r="P242" s="299"/>
      <c r="Q242" s="265">
        <f t="shared" si="52"/>
        <v>100</v>
      </c>
      <c r="R242" s="265"/>
      <c r="Z242" s="266"/>
      <c r="AA242" s="266"/>
      <c r="AB242" s="266"/>
      <c r="AC242" s="266"/>
      <c r="AD242" s="266"/>
      <c r="AE242" s="266"/>
      <c r="AF242" s="266"/>
      <c r="AG242" s="266"/>
      <c r="AH242" s="266"/>
      <c r="AI242" s="266"/>
      <c r="AJ242" s="266"/>
      <c r="AK242" s="266"/>
      <c r="AL242" s="266"/>
      <c r="AM242" s="266"/>
      <c r="AN242" s="266"/>
      <c r="AO242" s="266"/>
    </row>
    <row r="243" spans="1:41" ht="15.75" customHeight="1">
      <c r="A243" s="237" t="s">
        <v>681</v>
      </c>
      <c r="B243" s="273">
        <f>('Pivot Table for Data Exchange'!$O$546)*100</f>
        <v>57.558638192409575</v>
      </c>
      <c r="C243" s="273">
        <f>('Pivot Table for Data Exchange'!$O$549)*100</f>
        <v>11.353988262891743</v>
      </c>
      <c r="D243" s="274">
        <f>SUM(E243:G243)</f>
        <v>31.087373544698686</v>
      </c>
      <c r="E243" s="273">
        <f>('Pivot Table for Data Exchange'!$O$552)*100</f>
        <v>29.89066469695371</v>
      </c>
      <c r="F243" s="273">
        <f>('Pivot Table for Data Exchange'!$O$555)*100</f>
        <v>1.1961677178115624</v>
      </c>
      <c r="G243" s="275">
        <f>('Pivot Table for Data Exchange'!$O$558)*100</f>
        <v>5.4112993341396169E-4</v>
      </c>
      <c r="H243" s="273">
        <f>('Pivot Table for Data Exchange'!$O$561)*100</f>
        <v>0</v>
      </c>
      <c r="I243" s="298"/>
      <c r="J243" s="298"/>
      <c r="K243" s="298"/>
      <c r="L243" s="298"/>
      <c r="M243" s="298"/>
      <c r="N243" s="298"/>
      <c r="O243" s="298"/>
      <c r="P243" s="299"/>
      <c r="Q243" s="265">
        <f t="shared" si="52"/>
        <v>100</v>
      </c>
      <c r="R243" s="265"/>
      <c r="Z243" s="266"/>
      <c r="AA243" s="266"/>
      <c r="AB243" s="266"/>
      <c r="AC243" s="266"/>
      <c r="AD243" s="266"/>
      <c r="AE243" s="266"/>
      <c r="AF243" s="266"/>
      <c r="AG243" s="266"/>
      <c r="AH243" s="266"/>
      <c r="AI243" s="266"/>
      <c r="AJ243" s="266"/>
      <c r="AK243" s="266"/>
      <c r="AL243" s="266"/>
      <c r="AM243" s="266"/>
      <c r="AN243" s="266"/>
      <c r="AO243" s="266"/>
    </row>
    <row r="244" spans="1:41" s="278" customFormat="1" ht="14.25" customHeight="1">
      <c r="A244" s="279" t="s">
        <v>706</v>
      </c>
      <c r="B244" s="280"/>
      <c r="C244" s="280"/>
      <c r="D244" s="281"/>
      <c r="E244" s="280"/>
      <c r="F244" s="281"/>
      <c r="G244" s="281"/>
      <c r="H244" s="280"/>
      <c r="I244" s="289"/>
      <c r="J244" s="280"/>
      <c r="K244" s="280"/>
      <c r="L244" s="281"/>
      <c r="M244" s="280"/>
      <c r="N244" s="281"/>
      <c r="O244" s="281"/>
      <c r="P244" s="280"/>
      <c r="Q244" s="265">
        <f t="shared" si="52"/>
        <v>0</v>
      </c>
      <c r="R244" s="300"/>
      <c r="S244" s="282"/>
      <c r="T244" s="282"/>
      <c r="U244" s="282"/>
      <c r="V244" s="282"/>
      <c r="W244" s="282"/>
      <c r="X244" s="282"/>
      <c r="Y244" s="282"/>
      <c r="Z244" s="282"/>
      <c r="AA244" s="282"/>
      <c r="AB244" s="282"/>
      <c r="AC244" s="282"/>
      <c r="AD244" s="282"/>
      <c r="AE244" s="282"/>
      <c r="AF244" s="282"/>
      <c r="AG244" s="282"/>
      <c r="AH244" s="282"/>
      <c r="AI244" s="282"/>
      <c r="AJ244" s="282"/>
      <c r="AK244" s="282"/>
      <c r="AL244" s="282"/>
      <c r="AM244" s="282"/>
      <c r="AN244" s="282"/>
      <c r="AO244" s="282"/>
    </row>
    <row r="245" spans="1:41" s="278" customFormat="1" ht="24" customHeight="1">
      <c r="A245" s="490" t="s">
        <v>721</v>
      </c>
      <c r="B245" s="503"/>
      <c r="C245" s="503"/>
      <c r="D245" s="503"/>
      <c r="E245" s="503"/>
      <c r="F245" s="503"/>
      <c r="G245" s="503"/>
      <c r="H245" s="503"/>
      <c r="I245" s="289"/>
      <c r="P245" s="291"/>
      <c r="Q245" s="265">
        <f t="shared" si="52"/>
        <v>0</v>
      </c>
      <c r="R245" s="301"/>
    </row>
    <row r="246" spans="1:41" ht="12" customHeight="1">
      <c r="B246" s="302"/>
      <c r="C246" s="302"/>
      <c r="D246" s="303"/>
      <c r="E246" s="302"/>
      <c r="F246" s="303"/>
      <c r="G246" s="303"/>
      <c r="H246" s="302"/>
      <c r="I246" s="231"/>
      <c r="J246" s="302"/>
      <c r="K246" s="302"/>
      <c r="L246" s="303"/>
      <c r="M246" s="302"/>
      <c r="N246" s="303"/>
      <c r="O246" s="303"/>
      <c r="P246" s="302"/>
      <c r="Q246" s="265">
        <f t="shared" si="52"/>
        <v>0</v>
      </c>
      <c r="R246" s="265"/>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row>
    <row r="247" spans="1:41" s="278" customFormat="1">
      <c r="H247" s="284" t="s">
        <v>839</v>
      </c>
      <c r="Q247" s="265">
        <f t="shared" si="52"/>
        <v>0</v>
      </c>
      <c r="R247" s="304"/>
    </row>
    <row r="248" spans="1:41" ht="18">
      <c r="A248" s="226" t="s">
        <v>722</v>
      </c>
      <c r="B248" s="227"/>
      <c r="C248" s="227"/>
      <c r="D248" s="227"/>
      <c r="E248" s="227"/>
      <c r="F248" s="227"/>
      <c r="G248" s="227"/>
      <c r="H248" s="227"/>
      <c r="Q248" s="265">
        <f t="shared" si="52"/>
        <v>0</v>
      </c>
    </row>
    <row r="249" spans="1:41" ht="13">
      <c r="A249" s="232"/>
      <c r="B249" s="228"/>
      <c r="C249" s="228"/>
      <c r="D249" s="228"/>
      <c r="E249" s="228"/>
      <c r="F249" s="228"/>
      <c r="G249" s="228"/>
      <c r="H249" s="228"/>
      <c r="Q249" s="265">
        <f t="shared" si="52"/>
        <v>0</v>
      </c>
    </row>
    <row r="250" spans="1:41" ht="15.5">
      <c r="A250" s="234" t="s">
        <v>687</v>
      </c>
      <c r="B250" s="228"/>
      <c r="C250" s="228"/>
      <c r="D250" s="228"/>
      <c r="E250" s="228"/>
      <c r="F250" s="228"/>
      <c r="G250" s="228"/>
      <c r="H250" s="228"/>
      <c r="Q250" s="265">
        <f t="shared" si="52"/>
        <v>0</v>
      </c>
    </row>
    <row r="251" spans="1:41" ht="15.5">
      <c r="A251" s="234" t="s">
        <v>772</v>
      </c>
      <c r="B251" s="228"/>
      <c r="C251" s="228"/>
      <c r="D251" s="228"/>
      <c r="E251" s="228"/>
      <c r="F251" s="228"/>
      <c r="G251" s="228"/>
      <c r="H251" s="228"/>
      <c r="Q251" s="265">
        <f t="shared" si="52"/>
        <v>0</v>
      </c>
    </row>
    <row r="252" spans="1:41">
      <c r="A252" s="237"/>
      <c r="B252" s="238"/>
      <c r="C252" s="238"/>
      <c r="D252" s="238"/>
      <c r="E252" s="238"/>
      <c r="F252" s="238"/>
      <c r="G252" s="238"/>
      <c r="H252" s="238"/>
      <c r="Q252" s="265">
        <f t="shared" si="52"/>
        <v>0</v>
      </c>
    </row>
    <row r="253" spans="1:41">
      <c r="A253" s="242"/>
      <c r="B253" s="243" t="s">
        <v>689</v>
      </c>
      <c r="C253" s="243"/>
      <c r="D253" s="243"/>
      <c r="E253" s="243"/>
      <c r="F253" s="243"/>
      <c r="G253" s="243"/>
      <c r="H253" s="244"/>
      <c r="Q253" s="265">
        <f t="shared" si="52"/>
        <v>0</v>
      </c>
    </row>
    <row r="254" spans="1:41">
      <c r="A254" s="242"/>
      <c r="B254" s="243" t="s">
        <v>690</v>
      </c>
      <c r="C254" s="243"/>
      <c r="D254" s="485" t="s">
        <v>691</v>
      </c>
      <c r="E254" s="483"/>
      <c r="F254" s="483"/>
      <c r="G254" s="483"/>
      <c r="H254" s="250" t="s">
        <v>581</v>
      </c>
      <c r="Q254" s="265">
        <f t="shared" si="52"/>
        <v>0</v>
      </c>
    </row>
    <row r="255" spans="1:41" ht="34.5">
      <c r="A255" s="242"/>
      <c r="B255" s="251" t="s">
        <v>692</v>
      </c>
      <c r="C255" s="252" t="s">
        <v>693</v>
      </c>
      <c r="D255" s="253" t="s">
        <v>694</v>
      </c>
      <c r="E255" s="254" t="s">
        <v>8</v>
      </c>
      <c r="F255" s="251" t="s">
        <v>695</v>
      </c>
      <c r="G255" s="255" t="s">
        <v>704</v>
      </c>
      <c r="H255" s="256" t="s">
        <v>697</v>
      </c>
      <c r="Q255" s="265">
        <f t="shared" si="52"/>
        <v>0</v>
      </c>
    </row>
    <row r="256" spans="1:41" ht="15.75" customHeight="1">
      <c r="A256" s="286" t="s">
        <v>666</v>
      </c>
      <c r="B256" s="260">
        <f>('Pivot Table for Data Exchange'!$K$6)*100</f>
        <v>0</v>
      </c>
      <c r="C256" s="260">
        <f>('Pivot Table for Data Exchange'!$K$9)*100</f>
        <v>0</v>
      </c>
      <c r="D256" s="261">
        <f>SUM(E256:G256)</f>
        <v>0</v>
      </c>
      <c r="E256" s="260">
        <f>('Pivot Table for Data Exchange'!$K$12)*100</f>
        <v>0</v>
      </c>
      <c r="F256" s="260">
        <f>('Pivot Table for Data Exchange'!$K$15)*100</f>
        <v>0</v>
      </c>
      <c r="G256" s="264">
        <f>('Pivot Table for Data Exchange'!$K$18)*100</f>
        <v>0</v>
      </c>
      <c r="H256" s="260">
        <f>('Pivot Table for Data Exchange'!$K$21)*100</f>
        <v>0</v>
      </c>
      <c r="I256" s="231"/>
      <c r="J256" s="299"/>
      <c r="K256" s="299"/>
      <c r="L256" s="299"/>
      <c r="M256" s="299"/>
      <c r="N256" s="299"/>
      <c r="O256" s="299"/>
      <c r="P256" s="299"/>
      <c r="Q256" s="265">
        <f t="shared" si="52"/>
        <v>0</v>
      </c>
      <c r="R256" s="265"/>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row>
    <row r="257" spans="1:41" ht="15.75" customHeight="1">
      <c r="A257" s="231" t="s">
        <v>667</v>
      </c>
      <c r="B257" s="260">
        <f>('Pivot Table for Data Exchange'!$K$42)*100</f>
        <v>0</v>
      </c>
      <c r="C257" s="260">
        <f>('Pivot Table for Data Exchange'!$K$45)*100</f>
        <v>0</v>
      </c>
      <c r="D257" s="261">
        <f t="shared" ref="D257:D259" si="62">SUM(E257:G257)</f>
        <v>0</v>
      </c>
      <c r="E257" s="260">
        <f>('Pivot Table for Data Exchange'!$K$48)*100</f>
        <v>0</v>
      </c>
      <c r="F257" s="260">
        <f>('Pivot Table for Data Exchange'!$K$51)*100</f>
        <v>0</v>
      </c>
      <c r="G257" s="268">
        <f>('Pivot Table for Data Exchange'!$K$54)*100</f>
        <v>0</v>
      </c>
      <c r="H257" s="260">
        <f>('Pivot Table for Data Exchange'!$K$57)*100</f>
        <v>0</v>
      </c>
      <c r="I257" s="231"/>
      <c r="J257" s="299"/>
      <c r="K257" s="299"/>
      <c r="L257" s="299"/>
      <c r="M257" s="299"/>
      <c r="N257" s="299"/>
      <c r="O257" s="299"/>
      <c r="P257" s="299"/>
      <c r="Q257" s="265">
        <f t="shared" si="52"/>
        <v>0</v>
      </c>
      <c r="R257" s="265"/>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row>
    <row r="258" spans="1:41" ht="15.75" customHeight="1">
      <c r="A258" s="231" t="s">
        <v>668</v>
      </c>
      <c r="B258" s="260">
        <f>('Pivot Table for Data Exchange'!$K$78)*100</f>
        <v>0</v>
      </c>
      <c r="C258" s="260">
        <f>('Pivot Table for Data Exchange'!$K$81)*100</f>
        <v>0</v>
      </c>
      <c r="D258" s="261">
        <f t="shared" si="62"/>
        <v>0</v>
      </c>
      <c r="E258" s="260">
        <f>('Pivot Table for Data Exchange'!$K$84)*100</f>
        <v>0</v>
      </c>
      <c r="F258" s="260">
        <f>('Pivot Table for Data Exchange'!$K$87)*100</f>
        <v>0</v>
      </c>
      <c r="G258" s="268">
        <f>('Pivot Table for Data Exchange'!$K$90)*100</f>
        <v>0</v>
      </c>
      <c r="H258" s="260">
        <f>('Pivot Table for Data Exchange'!$K$93)*100</f>
        <v>0</v>
      </c>
      <c r="I258" s="231"/>
      <c r="J258" s="299"/>
      <c r="K258" s="299"/>
      <c r="L258" s="299"/>
      <c r="M258" s="299"/>
      <c r="N258" s="299"/>
      <c r="O258" s="299"/>
      <c r="P258" s="299"/>
      <c r="Q258" s="265">
        <f t="shared" si="52"/>
        <v>0</v>
      </c>
      <c r="R258" s="265"/>
      <c r="S258" s="266"/>
      <c r="T258" s="240"/>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row>
    <row r="259" spans="1:41" ht="15.75" customHeight="1">
      <c r="A259" s="231" t="s">
        <v>705</v>
      </c>
      <c r="B259" s="260">
        <f>('Pivot Table for Data Exchange'!$K$114)*100</f>
        <v>68.155794100468256</v>
      </c>
      <c r="C259" s="260">
        <f>('Pivot Table for Data Exchange'!$K$117)*100</f>
        <v>3.7630649415853394</v>
      </c>
      <c r="D259" s="261">
        <f t="shared" si="62"/>
        <v>28.043118966789361</v>
      </c>
      <c r="E259" s="260">
        <f>('Pivot Table for Data Exchange'!$K$120)*100</f>
        <v>27.571724495903073</v>
      </c>
      <c r="F259" s="260">
        <f>('Pivot Table for Data Exchange'!$K$123)*100</f>
        <v>1.0779619479432376E-2</v>
      </c>
      <c r="G259" s="268">
        <f>('Pivot Table for Data Exchange'!$K$126)*100</f>
        <v>0.46061485140685648</v>
      </c>
      <c r="H259" s="260">
        <f>('Pivot Table for Data Exchange'!$K$129)*100</f>
        <v>3.8021991157045493E-2</v>
      </c>
      <c r="I259" s="231"/>
      <c r="J259" s="299"/>
      <c r="K259" s="299"/>
      <c r="L259" s="299"/>
      <c r="M259" s="299"/>
      <c r="N259" s="299"/>
      <c r="O259" s="299"/>
      <c r="P259" s="299"/>
      <c r="Q259" s="265">
        <f t="shared" si="52"/>
        <v>100.00000000000001</v>
      </c>
      <c r="R259" s="265"/>
      <c r="S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row>
    <row r="260" spans="1:41" ht="15.75" customHeight="1">
      <c r="B260" s="260"/>
      <c r="C260" s="260"/>
      <c r="D260" s="261"/>
      <c r="E260" s="260"/>
      <c r="F260" s="260"/>
      <c r="G260" s="268"/>
      <c r="H260" s="260"/>
      <c r="I260" s="231"/>
      <c r="J260" s="299"/>
      <c r="K260" s="299"/>
      <c r="L260" s="299"/>
      <c r="M260" s="299"/>
      <c r="N260" s="299"/>
      <c r="O260" s="299"/>
      <c r="P260" s="299"/>
      <c r="Q260" s="265">
        <f t="shared" si="52"/>
        <v>0</v>
      </c>
      <c r="R260" s="265"/>
      <c r="S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row>
    <row r="261" spans="1:41" ht="15.75" customHeight="1">
      <c r="A261" s="231" t="s">
        <v>670</v>
      </c>
      <c r="B261" s="260">
        <f>('Pivot Table for Data Exchange'!$K$150)*100</f>
        <v>54.1787580719011</v>
      </c>
      <c r="C261" s="260">
        <f>('Pivot Table for Data Exchange'!$K$153)*100</f>
        <v>17.809811010941473</v>
      </c>
      <c r="D261" s="261">
        <f t="shared" ref="D261:D264" si="63">SUM(E261:G261)</f>
        <v>28.011430917157426</v>
      </c>
      <c r="E261" s="260">
        <f>('Pivot Table for Data Exchange'!$K$156)*100</f>
        <v>28.011430917157426</v>
      </c>
      <c r="F261" s="260">
        <f>('Pivot Table for Data Exchange'!$K$159)*100</f>
        <v>0</v>
      </c>
      <c r="G261" s="268">
        <f>('Pivot Table for Data Exchange'!$K$162)*100</f>
        <v>0</v>
      </c>
      <c r="H261" s="260">
        <f>('Pivot Table for Data Exchange'!$K$165)*100</f>
        <v>0</v>
      </c>
      <c r="I261" s="231"/>
      <c r="J261" s="299"/>
      <c r="K261" s="299"/>
      <c r="L261" s="299"/>
      <c r="M261" s="299"/>
      <c r="N261" s="299"/>
      <c r="O261" s="299"/>
      <c r="P261" s="299"/>
      <c r="Q261" s="265">
        <f t="shared" si="52"/>
        <v>100</v>
      </c>
      <c r="R261" s="265"/>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row>
    <row r="262" spans="1:41" ht="15.75" customHeight="1">
      <c r="A262" s="231" t="s">
        <v>671</v>
      </c>
      <c r="B262" s="260">
        <f>('Pivot Table for Data Exchange'!$K$186)*100</f>
        <v>0</v>
      </c>
      <c r="C262" s="260">
        <f>('Pivot Table for Data Exchange'!$K$189)*100</f>
        <v>0</v>
      </c>
      <c r="D262" s="261">
        <f t="shared" si="63"/>
        <v>0</v>
      </c>
      <c r="E262" s="260">
        <f>('Pivot Table for Data Exchange'!$K$192)*100</f>
        <v>0</v>
      </c>
      <c r="F262" s="260">
        <f>('Pivot Table for Data Exchange'!$K$195)*100</f>
        <v>0</v>
      </c>
      <c r="G262" s="268">
        <f>('Pivot Table for Data Exchange'!$K$198)*100</f>
        <v>0</v>
      </c>
      <c r="H262" s="260">
        <f>('Pivot Table for Data Exchange'!$K$201)*100</f>
        <v>0</v>
      </c>
      <c r="I262" s="231"/>
      <c r="J262" s="299"/>
      <c r="K262" s="299"/>
      <c r="L262" s="299"/>
      <c r="M262" s="299"/>
      <c r="N262" s="299"/>
      <c r="O262" s="299"/>
      <c r="P262" s="299"/>
      <c r="Q262" s="265">
        <f t="shared" si="52"/>
        <v>0</v>
      </c>
      <c r="R262" s="265"/>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row>
    <row r="263" spans="1:41" ht="15.75" customHeight="1">
      <c r="A263" s="231" t="s">
        <v>672</v>
      </c>
      <c r="B263" s="260">
        <f>('Pivot Table for Data Exchange'!$K$222)*100</f>
        <v>0</v>
      </c>
      <c r="C263" s="260">
        <f>('Pivot Table for Data Exchange'!$K$225)*100</f>
        <v>0</v>
      </c>
      <c r="D263" s="261">
        <f t="shared" si="63"/>
        <v>0</v>
      </c>
      <c r="E263" s="260">
        <f>('Pivot Table for Data Exchange'!$K$228)*100</f>
        <v>0</v>
      </c>
      <c r="F263" s="260">
        <f>('Pivot Table for Data Exchange'!$K$231)*100</f>
        <v>0</v>
      </c>
      <c r="G263" s="268">
        <f>('Pivot Table for Data Exchange'!$K$234)*100</f>
        <v>0</v>
      </c>
      <c r="H263" s="260">
        <f>('Pivot Table for Data Exchange'!$K$237)*100</f>
        <v>0</v>
      </c>
      <c r="I263" s="231"/>
      <c r="J263" s="299"/>
      <c r="K263" s="299"/>
      <c r="L263" s="299"/>
      <c r="M263" s="299"/>
      <c r="N263" s="299"/>
      <c r="O263" s="299"/>
      <c r="P263" s="299"/>
      <c r="Q263" s="265">
        <f t="shared" si="52"/>
        <v>0</v>
      </c>
      <c r="R263" s="265"/>
      <c r="S263" s="266"/>
      <c r="T263" s="240"/>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row>
    <row r="264" spans="1:41" ht="15.75" customHeight="1">
      <c r="A264" s="231" t="s">
        <v>673</v>
      </c>
      <c r="B264" s="260">
        <f>('Pivot Table for Data Exchange'!$K$258)*100</f>
        <v>0</v>
      </c>
      <c r="C264" s="260">
        <f>('Pivot Table for Data Exchange'!$K$261)*100</f>
        <v>0</v>
      </c>
      <c r="D264" s="261">
        <f t="shared" si="63"/>
        <v>0</v>
      </c>
      <c r="E264" s="260">
        <f>('Pivot Table for Data Exchange'!$K$264)*100</f>
        <v>0</v>
      </c>
      <c r="F264" s="260">
        <f>('Pivot Table for Data Exchange'!$K$267)*100</f>
        <v>0</v>
      </c>
      <c r="G264" s="268">
        <f>('Pivot Table for Data Exchange'!$K$270)*100</f>
        <v>0</v>
      </c>
      <c r="H264" s="260">
        <f>('Pivot Table for Data Exchange'!$K$273)*100</f>
        <v>0</v>
      </c>
      <c r="I264" s="231"/>
      <c r="J264" s="299"/>
      <c r="K264" s="299"/>
      <c r="L264" s="299"/>
      <c r="M264" s="299"/>
      <c r="N264" s="299"/>
      <c r="O264" s="299"/>
      <c r="P264" s="299"/>
      <c r="Q264" s="265">
        <f t="shared" si="52"/>
        <v>0</v>
      </c>
      <c r="R264" s="265"/>
      <c r="S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row>
    <row r="265" spans="1:41" ht="15.75" customHeight="1">
      <c r="B265" s="260"/>
      <c r="C265" s="260"/>
      <c r="D265" s="261"/>
      <c r="E265" s="260"/>
      <c r="F265" s="260"/>
      <c r="G265" s="268"/>
      <c r="H265" s="260"/>
      <c r="I265" s="231"/>
      <c r="J265" s="299"/>
      <c r="K265" s="299"/>
      <c r="L265" s="299"/>
      <c r="M265" s="299"/>
      <c r="N265" s="299"/>
      <c r="O265" s="299"/>
      <c r="P265" s="299"/>
      <c r="Q265" s="265">
        <f t="shared" si="52"/>
        <v>0</v>
      </c>
      <c r="R265" s="265"/>
      <c r="S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row>
    <row r="266" spans="1:41" ht="15.75" customHeight="1">
      <c r="A266" s="231" t="s">
        <v>674</v>
      </c>
      <c r="B266" s="260">
        <f>('Pivot Table for Data Exchange'!$K$294)*100</f>
        <v>0</v>
      </c>
      <c r="C266" s="260">
        <f>('Pivot Table for Data Exchange'!$K$297)*100</f>
        <v>0</v>
      </c>
      <c r="D266" s="261">
        <f t="shared" ref="D266:D268" si="64">SUM(E266:G266)</f>
        <v>0</v>
      </c>
      <c r="E266" s="260">
        <f>('Pivot Table for Data Exchange'!$K$300)*100</f>
        <v>0</v>
      </c>
      <c r="F266" s="260">
        <f>('Pivot Table for Data Exchange'!$K$303)*100</f>
        <v>0</v>
      </c>
      <c r="G266" s="268">
        <f>('Pivot Table for Data Exchange'!$K$306)*100</f>
        <v>0</v>
      </c>
      <c r="H266" s="260">
        <f>('Pivot Table for Data Exchange'!$K$309)*100</f>
        <v>0</v>
      </c>
      <c r="I266" s="231"/>
      <c r="J266" s="299"/>
      <c r="K266" s="299"/>
      <c r="L266" s="299"/>
      <c r="M266" s="299"/>
      <c r="N266" s="299"/>
      <c r="O266" s="299"/>
      <c r="P266" s="299"/>
      <c r="Q266" s="265">
        <f t="shared" si="52"/>
        <v>0</v>
      </c>
      <c r="R266" s="265"/>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row>
    <row r="267" spans="1:41" ht="15.75" customHeight="1">
      <c r="A267" s="231" t="s">
        <v>675</v>
      </c>
      <c r="B267" s="260">
        <f>('Pivot Table for Data Exchange'!$K$330)*100</f>
        <v>0</v>
      </c>
      <c r="C267" s="260">
        <f>('Pivot Table for Data Exchange'!$K$333)*100</f>
        <v>0</v>
      </c>
      <c r="D267" s="261">
        <f t="shared" si="64"/>
        <v>0</v>
      </c>
      <c r="E267" s="260">
        <f>('Pivot Table for Data Exchange'!$K$336)*100</f>
        <v>0</v>
      </c>
      <c r="F267" s="260">
        <f>('Pivot Table for Data Exchange'!$K$339)*100</f>
        <v>0</v>
      </c>
      <c r="G267" s="268">
        <f>('Pivot Table for Data Exchange'!$K$342)*100</f>
        <v>0</v>
      </c>
      <c r="H267" s="260">
        <f>('Pivot Table for Data Exchange'!$K$345)*100</f>
        <v>0</v>
      </c>
      <c r="I267" s="231"/>
      <c r="J267" s="299"/>
      <c r="K267" s="299"/>
      <c r="L267" s="299"/>
      <c r="M267" s="299"/>
      <c r="N267" s="299"/>
      <c r="O267" s="299"/>
      <c r="P267" s="299"/>
      <c r="Q267" s="265">
        <f t="shared" ref="Q267:Q330" si="65">SUM(B267,C267,D267,H267)</f>
        <v>0</v>
      </c>
      <c r="R267" s="265"/>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row>
    <row r="268" spans="1:41" ht="15.75" customHeight="1">
      <c r="A268" s="231" t="s">
        <v>676</v>
      </c>
      <c r="B268" s="260">
        <f>('Pivot Table for Data Exchange'!$K$366)*100</f>
        <v>65.774356444117757</v>
      </c>
      <c r="C268" s="260">
        <f>('Pivot Table for Data Exchange'!$K$369)*100</f>
        <v>1.5103990977882722E-3</v>
      </c>
      <c r="D268" s="261">
        <f t="shared" si="64"/>
        <v>34.224133156784461</v>
      </c>
      <c r="E268" s="260">
        <f>('Pivot Table for Data Exchange'!$K$372)*100</f>
        <v>34.224133156784461</v>
      </c>
      <c r="F268" s="260">
        <f>('Pivot Table for Data Exchange'!$K$375)*100</f>
        <v>0</v>
      </c>
      <c r="G268" s="268">
        <f>('Pivot Table for Data Exchange'!$K$378)*100</f>
        <v>0</v>
      </c>
      <c r="H268" s="260">
        <f>('Pivot Table for Data Exchange'!$K$381)*100</f>
        <v>0</v>
      </c>
      <c r="I268" s="231"/>
      <c r="J268" s="299"/>
      <c r="K268" s="299"/>
      <c r="L268" s="299"/>
      <c r="M268" s="299"/>
      <c r="N268" s="299"/>
      <c r="O268" s="299"/>
      <c r="P268" s="299"/>
      <c r="Q268" s="265">
        <f t="shared" si="65"/>
        <v>100</v>
      </c>
      <c r="R268" s="265"/>
      <c r="S268" s="266"/>
      <c r="T268" s="240"/>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row>
    <row r="269" spans="1:41" ht="15.75" customHeight="1">
      <c r="A269" s="231" t="s">
        <v>677</v>
      </c>
      <c r="B269" s="260">
        <f>('Pivot Table for Data Exchange'!$K$402)*100</f>
        <v>0</v>
      </c>
      <c r="C269" s="260">
        <f>('Pivot Table for Data Exchange'!$K$405)*100</f>
        <v>0</v>
      </c>
      <c r="D269" s="261">
        <f>SUM(E269:G269)</f>
        <v>0</v>
      </c>
      <c r="E269" s="260">
        <f>('Pivot Table for Data Exchange'!$K$408)*100</f>
        <v>0</v>
      </c>
      <c r="F269" s="260">
        <f>('Pivot Table for Data Exchange'!$K$411)*100</f>
        <v>0</v>
      </c>
      <c r="G269" s="268">
        <f>('Pivot Table for Data Exchange'!$K$414)*100</f>
        <v>0</v>
      </c>
      <c r="H269" s="260">
        <f>('Pivot Table for Data Exchange'!$K$417)*100</f>
        <v>0</v>
      </c>
      <c r="I269" s="231"/>
      <c r="J269" s="299"/>
      <c r="K269" s="299"/>
      <c r="L269" s="299"/>
      <c r="M269" s="299"/>
      <c r="N269" s="299"/>
      <c r="O269" s="299"/>
      <c r="P269" s="299"/>
      <c r="Q269" s="265">
        <f t="shared" si="65"/>
        <v>0</v>
      </c>
      <c r="R269" s="265"/>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row>
    <row r="270" spans="1:41" ht="15.75" customHeight="1">
      <c r="B270" s="260"/>
      <c r="C270" s="260"/>
      <c r="D270" s="261"/>
      <c r="E270" s="260"/>
      <c r="F270" s="260"/>
      <c r="G270" s="268"/>
      <c r="H270" s="260"/>
      <c r="I270" s="231"/>
      <c r="J270" s="299"/>
      <c r="K270" s="299"/>
      <c r="L270" s="299"/>
      <c r="M270" s="299"/>
      <c r="N270" s="299"/>
      <c r="O270" s="299"/>
      <c r="P270" s="299"/>
      <c r="Q270" s="265">
        <f t="shared" si="65"/>
        <v>0</v>
      </c>
      <c r="R270" s="265"/>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row>
    <row r="271" spans="1:41" ht="15.75" customHeight="1">
      <c r="A271" s="231" t="s">
        <v>678</v>
      </c>
      <c r="B271" s="260">
        <f>('Pivot Table for Data Exchange'!$K$438)*100</f>
        <v>0</v>
      </c>
      <c r="C271" s="260">
        <f>('Pivot Table for Data Exchange'!$K$441)*100</f>
        <v>0</v>
      </c>
      <c r="D271" s="261">
        <f>SUM(E271:G271)</f>
        <v>0</v>
      </c>
      <c r="E271" s="260">
        <f>('Pivot Table for Data Exchange'!$K$444)*100</f>
        <v>0</v>
      </c>
      <c r="F271" s="260">
        <f>('Pivot Table for Data Exchange'!$K$447)*100</f>
        <v>0</v>
      </c>
      <c r="G271" s="268">
        <f>('Pivot Table for Data Exchange'!$K$450)*100</f>
        <v>0</v>
      </c>
      <c r="H271" s="260">
        <f>('Pivot Table for Data Exchange'!$K$453)*100</f>
        <v>0</v>
      </c>
      <c r="I271" s="231"/>
      <c r="J271" s="299"/>
      <c r="K271" s="299"/>
      <c r="L271" s="299"/>
      <c r="M271" s="299"/>
      <c r="N271" s="299"/>
      <c r="O271" s="299"/>
      <c r="P271" s="299"/>
      <c r="Q271" s="265">
        <f t="shared" si="65"/>
        <v>0</v>
      </c>
      <c r="R271" s="265"/>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row>
    <row r="272" spans="1:41" ht="15.75" customHeight="1">
      <c r="A272" s="231" t="s">
        <v>679</v>
      </c>
      <c r="B272" s="260">
        <f>('Pivot Table for Data Exchange'!$K$474)*100</f>
        <v>0</v>
      </c>
      <c r="C272" s="260">
        <f>('Pivot Table for Data Exchange'!$K$477)*100</f>
        <v>0</v>
      </c>
      <c r="D272" s="261">
        <f>SUM(E272:G272)</f>
        <v>0</v>
      </c>
      <c r="E272" s="260">
        <f>('Pivot Table for Data Exchange'!$K$480)*100</f>
        <v>0</v>
      </c>
      <c r="F272" s="260">
        <f>('Pivot Table for Data Exchange'!$K$483)*100</f>
        <v>0</v>
      </c>
      <c r="G272" s="271">
        <f>('Pivot Table for Data Exchange'!$K$486)*100</f>
        <v>0</v>
      </c>
      <c r="H272" s="260">
        <f>('Pivot Table for Data Exchange'!$K$489)*100</f>
        <v>0</v>
      </c>
      <c r="I272" s="231"/>
      <c r="J272" s="299"/>
      <c r="K272" s="299"/>
      <c r="L272" s="299"/>
      <c r="M272" s="299"/>
      <c r="N272" s="299"/>
      <c r="O272" s="299"/>
      <c r="P272" s="299"/>
      <c r="Q272" s="265">
        <f t="shared" si="65"/>
        <v>0</v>
      </c>
      <c r="R272" s="265"/>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row>
    <row r="273" spans="1:41" ht="15.75" customHeight="1">
      <c r="A273" s="231" t="s">
        <v>680</v>
      </c>
      <c r="B273" s="260">
        <f>('Pivot Table for Data Exchange'!$K$510)*100</f>
        <v>0</v>
      </c>
      <c r="C273" s="260">
        <f>('Pivot Table for Data Exchange'!$K$513)*100</f>
        <v>0</v>
      </c>
      <c r="D273" s="261">
        <f t="shared" ref="D273" si="66">SUM(E273:G273)</f>
        <v>0</v>
      </c>
      <c r="E273" s="260">
        <f>('Pivot Table for Data Exchange'!$K$516)*100</f>
        <v>0</v>
      </c>
      <c r="F273" s="260">
        <f>('Pivot Table for Data Exchange'!$K$519)*100</f>
        <v>0</v>
      </c>
      <c r="G273" s="268">
        <f>('Pivot Table for Data Exchange'!$K$522)*100</f>
        <v>0</v>
      </c>
      <c r="H273" s="260">
        <f>('Pivot Table for Data Exchange'!$K$525)*100</f>
        <v>0</v>
      </c>
      <c r="I273" s="231"/>
      <c r="J273" s="299"/>
      <c r="K273" s="299"/>
      <c r="L273" s="299"/>
      <c r="M273" s="299"/>
      <c r="N273" s="299"/>
      <c r="O273" s="299"/>
      <c r="P273" s="299"/>
      <c r="Q273" s="265">
        <f t="shared" si="65"/>
        <v>0</v>
      </c>
      <c r="R273" s="265"/>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row>
    <row r="274" spans="1:41" ht="15.75" customHeight="1">
      <c r="A274" s="237" t="s">
        <v>681</v>
      </c>
      <c r="B274" s="273">
        <f>('Pivot Table for Data Exchange'!$K$546)*100</f>
        <v>61.431555269922875</v>
      </c>
      <c r="C274" s="273">
        <f>('Pivot Table for Data Exchange'!$K$549)*100</f>
        <v>6.7698769739258173</v>
      </c>
      <c r="D274" s="274">
        <f>SUM(E274:G274)</f>
        <v>31.7985677561513</v>
      </c>
      <c r="E274" s="273">
        <f>('Pivot Table for Data Exchange'!$K$552)*100</f>
        <v>31.796272493573262</v>
      </c>
      <c r="F274" s="273">
        <f>('Pivot Table for Data Exchange'!$K$555)*100</f>
        <v>0</v>
      </c>
      <c r="G274" s="275">
        <f>('Pivot Table for Data Exchange'!$K$558)*100</f>
        <v>2.2952625780389277E-3</v>
      </c>
      <c r="H274" s="273">
        <f>('Pivot Table for Data Exchange'!$K$561)*100</f>
        <v>0</v>
      </c>
      <c r="I274" s="231"/>
      <c r="J274" s="299"/>
      <c r="K274" s="299"/>
      <c r="L274" s="299"/>
      <c r="M274" s="299"/>
      <c r="N274" s="299"/>
      <c r="O274" s="299"/>
      <c r="P274" s="299"/>
      <c r="Q274" s="265">
        <f t="shared" si="65"/>
        <v>99.999999999999986</v>
      </c>
      <c r="R274" s="265"/>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row>
    <row r="275" spans="1:41" s="278" customFormat="1" ht="12" customHeight="1">
      <c r="A275" s="279" t="s">
        <v>706</v>
      </c>
      <c r="B275" s="280"/>
      <c r="C275" s="280"/>
      <c r="D275" s="281"/>
      <c r="E275" s="280"/>
      <c r="F275" s="281"/>
      <c r="G275" s="281"/>
      <c r="H275" s="280"/>
      <c r="I275" s="289"/>
      <c r="J275" s="280"/>
      <c r="K275" s="280"/>
      <c r="L275" s="281"/>
      <c r="M275" s="280"/>
      <c r="N275" s="281"/>
      <c r="O275" s="281"/>
      <c r="P275" s="280"/>
      <c r="Q275" s="265">
        <f t="shared" si="65"/>
        <v>0</v>
      </c>
      <c r="R275" s="300"/>
      <c r="S275" s="282"/>
      <c r="T275" s="282"/>
      <c r="U275" s="282"/>
      <c r="V275" s="282"/>
      <c r="W275" s="282"/>
      <c r="X275" s="282"/>
      <c r="Y275" s="282"/>
      <c r="Z275" s="282"/>
      <c r="AA275" s="282"/>
      <c r="AB275" s="282"/>
      <c r="AC275" s="282"/>
      <c r="AD275" s="282"/>
      <c r="AE275" s="282"/>
      <c r="AF275" s="282"/>
      <c r="AG275" s="282"/>
      <c r="AH275" s="282"/>
      <c r="AI275" s="282"/>
      <c r="AJ275" s="282"/>
      <c r="AK275" s="282"/>
      <c r="AL275" s="282"/>
      <c r="AM275" s="282"/>
      <c r="AN275" s="282"/>
      <c r="AO275" s="282"/>
    </row>
    <row r="276" spans="1:41" s="278" customFormat="1" ht="23.25" customHeight="1">
      <c r="A276" s="490" t="s">
        <v>723</v>
      </c>
      <c r="B276" s="503"/>
      <c r="C276" s="503"/>
      <c r="D276" s="503"/>
      <c r="E276" s="503"/>
      <c r="F276" s="503"/>
      <c r="G276" s="503"/>
      <c r="H276" s="503"/>
      <c r="I276" s="289"/>
      <c r="P276" s="291"/>
      <c r="Q276" s="265">
        <f t="shared" si="65"/>
        <v>0</v>
      </c>
      <c r="R276" s="301"/>
    </row>
    <row r="277" spans="1:41" s="278" customFormat="1" ht="13.5" customHeight="1">
      <c r="I277" s="289"/>
      <c r="Q277" s="265">
        <f t="shared" si="65"/>
        <v>0</v>
      </c>
      <c r="R277" s="301"/>
    </row>
    <row r="278" spans="1:41" s="278" customFormat="1">
      <c r="B278" s="280"/>
      <c r="C278" s="280"/>
      <c r="D278" s="281"/>
      <c r="E278" s="280"/>
      <c r="F278" s="281"/>
      <c r="G278" s="281"/>
      <c r="H278" s="284" t="s">
        <v>839</v>
      </c>
      <c r="I278" s="305"/>
      <c r="Q278" s="265">
        <f t="shared" si="65"/>
        <v>0</v>
      </c>
      <c r="R278" s="301"/>
    </row>
    <row r="279" spans="1:41" ht="18">
      <c r="A279" s="226" t="s">
        <v>724</v>
      </c>
      <c r="B279" s="227"/>
      <c r="C279" s="227"/>
      <c r="D279" s="227"/>
      <c r="E279" s="227"/>
      <c r="F279" s="227"/>
      <c r="G279" s="227"/>
      <c r="H279" s="227"/>
      <c r="Q279" s="265">
        <f t="shared" si="65"/>
        <v>0</v>
      </c>
    </row>
    <row r="280" spans="1:41" ht="13">
      <c r="A280" s="232"/>
      <c r="B280" s="228"/>
      <c r="C280" s="228"/>
      <c r="D280" s="228"/>
      <c r="E280" s="228"/>
      <c r="F280" s="228"/>
      <c r="G280" s="228"/>
      <c r="H280" s="228"/>
      <c r="Q280" s="265">
        <f t="shared" si="65"/>
        <v>0</v>
      </c>
    </row>
    <row r="281" spans="1:41" ht="15.5">
      <c r="A281" s="234" t="s">
        <v>687</v>
      </c>
      <c r="B281" s="228"/>
      <c r="C281" s="228"/>
      <c r="D281" s="228"/>
      <c r="E281" s="228"/>
      <c r="F281" s="228"/>
      <c r="G281" s="228"/>
      <c r="H281" s="228"/>
      <c r="Q281" s="265">
        <f t="shared" si="65"/>
        <v>0</v>
      </c>
    </row>
    <row r="282" spans="1:41" ht="15.5">
      <c r="A282" s="234" t="s">
        <v>773</v>
      </c>
      <c r="B282" s="228"/>
      <c r="C282" s="228"/>
      <c r="D282" s="228"/>
      <c r="E282" s="228"/>
      <c r="F282" s="228"/>
      <c r="G282" s="228"/>
      <c r="H282" s="228"/>
      <c r="Q282" s="265">
        <f t="shared" si="65"/>
        <v>0</v>
      </c>
    </row>
    <row r="283" spans="1:41">
      <c r="A283" s="237"/>
      <c r="B283" s="238"/>
      <c r="C283" s="238"/>
      <c r="D283" s="238"/>
      <c r="E283" s="238"/>
      <c r="F283" s="238"/>
      <c r="G283" s="238"/>
      <c r="H283" s="238"/>
      <c r="Q283" s="265">
        <f t="shared" si="65"/>
        <v>0</v>
      </c>
    </row>
    <row r="284" spans="1:41">
      <c r="A284" s="242"/>
      <c r="B284" s="243" t="s">
        <v>689</v>
      </c>
      <c r="C284" s="243"/>
      <c r="D284" s="243"/>
      <c r="E284" s="243"/>
      <c r="F284" s="243"/>
      <c r="G284" s="243"/>
      <c r="H284" s="244"/>
      <c r="Q284" s="265">
        <f t="shared" si="65"/>
        <v>0</v>
      </c>
    </row>
    <row r="285" spans="1:41">
      <c r="A285" s="242"/>
      <c r="B285" s="243" t="s">
        <v>690</v>
      </c>
      <c r="C285" s="243"/>
      <c r="D285" s="485" t="s">
        <v>691</v>
      </c>
      <c r="E285" s="483"/>
      <c r="F285" s="483"/>
      <c r="G285" s="483"/>
      <c r="H285" s="250" t="s">
        <v>581</v>
      </c>
      <c r="Q285" s="265">
        <f t="shared" si="65"/>
        <v>0</v>
      </c>
    </row>
    <row r="286" spans="1:41" ht="34.5">
      <c r="A286" s="242"/>
      <c r="B286" s="251" t="s">
        <v>692</v>
      </c>
      <c r="C286" s="252" t="s">
        <v>693</v>
      </c>
      <c r="D286" s="253" t="s">
        <v>694</v>
      </c>
      <c r="E286" s="254" t="s">
        <v>8</v>
      </c>
      <c r="F286" s="251" t="s">
        <v>695</v>
      </c>
      <c r="G286" s="255" t="s">
        <v>704</v>
      </c>
      <c r="H286" s="256" t="s">
        <v>697</v>
      </c>
      <c r="Q286" s="265">
        <f t="shared" si="65"/>
        <v>0</v>
      </c>
    </row>
    <row r="287" spans="1:41" ht="15.75" customHeight="1">
      <c r="A287" s="286" t="s">
        <v>666</v>
      </c>
      <c r="B287" s="260">
        <f>('Pivot Table for Data Exchange'!$L$6)*100</f>
        <v>57.226290905719843</v>
      </c>
      <c r="C287" s="260">
        <f>('Pivot Table for Data Exchange'!$L$9)*100</f>
        <v>6.9833514197372661</v>
      </c>
      <c r="D287" s="261">
        <f>SUM(E287:G287)</f>
        <v>35.790357674542889</v>
      </c>
      <c r="E287" s="260">
        <f>('Pivot Table for Data Exchange'!$L$12)*100</f>
        <v>35.315112417452383</v>
      </c>
      <c r="F287" s="260">
        <f>('Pivot Table for Data Exchange'!$L$15)*100</f>
        <v>0.47524525709050652</v>
      </c>
      <c r="G287" s="264">
        <f>('Pivot Table for Data Exchange'!$L$18)*100</f>
        <v>0</v>
      </c>
      <c r="H287" s="260">
        <f>('Pivot Table for Data Exchange'!$L$21)*100</f>
        <v>0</v>
      </c>
      <c r="I287" s="231"/>
      <c r="J287" s="299"/>
      <c r="K287" s="299"/>
      <c r="L287" s="299"/>
      <c r="M287" s="299"/>
      <c r="N287" s="299"/>
      <c r="O287" s="299"/>
      <c r="P287" s="299"/>
      <c r="Q287" s="265">
        <f t="shared" si="65"/>
        <v>100</v>
      </c>
      <c r="R287" s="265"/>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row>
    <row r="288" spans="1:41" ht="15.75" customHeight="1">
      <c r="A288" s="231" t="s">
        <v>667</v>
      </c>
      <c r="B288" s="260">
        <f>('Pivot Table for Data Exchange'!$L$42)*100</f>
        <v>60.777673040667921</v>
      </c>
      <c r="C288" s="260">
        <f>('Pivot Table for Data Exchange'!$L$45)*100</f>
        <v>10.517775383786695</v>
      </c>
      <c r="D288" s="261">
        <f t="shared" ref="D288:D290" si="67">SUM(E288:G288)</f>
        <v>28.7018583355777</v>
      </c>
      <c r="E288" s="260">
        <f>('Pivot Table for Data Exchange'!$L$48)*100</f>
        <v>28.7018583355777</v>
      </c>
      <c r="F288" s="272">
        <f>('Pivot Table for Data Exchange'!$L$51)*100</f>
        <v>0</v>
      </c>
      <c r="G288" s="268">
        <f>('Pivot Table for Data Exchange'!$L$54)*100</f>
        <v>0</v>
      </c>
      <c r="H288" s="260">
        <f>('Pivot Table for Data Exchange'!$L$57)*100</f>
        <v>2.6932399676811206E-3</v>
      </c>
      <c r="I288" s="231"/>
      <c r="J288" s="299"/>
      <c r="K288" s="299"/>
      <c r="L288" s="299"/>
      <c r="M288" s="299"/>
      <c r="N288" s="299"/>
      <c r="O288" s="299"/>
      <c r="P288" s="299"/>
      <c r="Q288" s="265">
        <f t="shared" si="65"/>
        <v>100</v>
      </c>
      <c r="R288" s="265"/>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row>
    <row r="289" spans="1:41" ht="15.75" customHeight="1">
      <c r="A289" s="231" t="s">
        <v>668</v>
      </c>
      <c r="B289" s="260">
        <f>('Pivot Table for Data Exchange'!$L$78)*100</f>
        <v>0</v>
      </c>
      <c r="C289" s="260">
        <f>('Pivot Table for Data Exchange'!$L$81)*100</f>
        <v>0</v>
      </c>
      <c r="D289" s="261">
        <f t="shared" si="67"/>
        <v>0</v>
      </c>
      <c r="E289" s="260">
        <f>('Pivot Table for Data Exchange'!$L$84)*100</f>
        <v>0</v>
      </c>
      <c r="F289" s="260">
        <f>('Pivot Table for Data Exchange'!$L$87)*100</f>
        <v>0</v>
      </c>
      <c r="G289" s="268">
        <f>('Pivot Table for Data Exchange'!$L$90)*100</f>
        <v>0</v>
      </c>
      <c r="H289" s="260">
        <f>('Pivot Table for Data Exchange'!$L$93)*100</f>
        <v>0</v>
      </c>
      <c r="I289" s="231"/>
      <c r="J289" s="299"/>
      <c r="K289" s="299"/>
      <c r="L289" s="299"/>
      <c r="M289" s="299"/>
      <c r="N289" s="299"/>
      <c r="O289" s="299"/>
      <c r="P289" s="299"/>
      <c r="Q289" s="265">
        <f t="shared" si="65"/>
        <v>0</v>
      </c>
      <c r="R289" s="265"/>
      <c r="S289" s="266"/>
      <c r="T289" s="240"/>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row>
    <row r="290" spans="1:41" ht="15.75" customHeight="1">
      <c r="A290" s="231" t="s">
        <v>705</v>
      </c>
      <c r="B290" s="260">
        <f>('Pivot Table for Data Exchange'!$L$114)*100</f>
        <v>65.369080351523124</v>
      </c>
      <c r="C290" s="260">
        <f>('Pivot Table for Data Exchange'!$L$117)*100</f>
        <v>4.0038521785631467</v>
      </c>
      <c r="D290" s="261">
        <f t="shared" si="67"/>
        <v>30.627067469913726</v>
      </c>
      <c r="E290" s="260">
        <f>('Pivot Table for Data Exchange'!$L$120)*100</f>
        <v>30.627067469913726</v>
      </c>
      <c r="F290" s="260">
        <f>('Pivot Table for Data Exchange'!$L$123)*100</f>
        <v>0</v>
      </c>
      <c r="G290" s="267">
        <f>('Pivot Table for Data Exchange'!$L$126)*100</f>
        <v>0</v>
      </c>
      <c r="H290" s="272">
        <f>('Pivot Table for Data Exchange'!$L$129)*100</f>
        <v>0</v>
      </c>
      <c r="I290" s="231"/>
      <c r="J290" s="299"/>
      <c r="K290" s="299"/>
      <c r="L290" s="299"/>
      <c r="M290" s="299"/>
      <c r="N290" s="299"/>
      <c r="O290" s="299"/>
      <c r="P290" s="299"/>
      <c r="Q290" s="265">
        <f t="shared" si="65"/>
        <v>100</v>
      </c>
      <c r="R290" s="265"/>
      <c r="S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row>
    <row r="291" spans="1:41" ht="15.75" customHeight="1">
      <c r="B291" s="260"/>
      <c r="C291" s="260"/>
      <c r="D291" s="261"/>
      <c r="E291" s="260"/>
      <c r="F291" s="260"/>
      <c r="G291" s="268"/>
      <c r="H291" s="260"/>
      <c r="I291" s="231"/>
      <c r="J291" s="299"/>
      <c r="K291" s="299"/>
      <c r="L291" s="299"/>
      <c r="M291" s="299"/>
      <c r="N291" s="299"/>
      <c r="O291" s="299"/>
      <c r="P291" s="299"/>
      <c r="Q291" s="265">
        <f t="shared" si="65"/>
        <v>0</v>
      </c>
      <c r="R291" s="265"/>
      <c r="S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row>
    <row r="292" spans="1:41" ht="15.75" customHeight="1">
      <c r="A292" s="231" t="s">
        <v>670</v>
      </c>
      <c r="B292" s="260">
        <f>('Pivot Table for Data Exchange'!$L$150)*100</f>
        <v>0</v>
      </c>
      <c r="C292" s="260">
        <f>('Pivot Table for Data Exchange'!$L$153)*100</f>
        <v>0</v>
      </c>
      <c r="D292" s="261">
        <f t="shared" ref="D292:D295" si="68">SUM(E292:G292)</f>
        <v>0</v>
      </c>
      <c r="E292" s="260">
        <f>('Pivot Table for Data Exchange'!$L$156)*100</f>
        <v>0</v>
      </c>
      <c r="F292" s="260">
        <f>('Pivot Table for Data Exchange'!$L$159)*100</f>
        <v>0</v>
      </c>
      <c r="G292" s="268">
        <f>('Pivot Table for Data Exchange'!$L$162)*100</f>
        <v>0</v>
      </c>
      <c r="H292" s="260">
        <f>('Pivot Table for Data Exchange'!$L$165)*100</f>
        <v>0</v>
      </c>
      <c r="I292" s="231"/>
      <c r="J292" s="299"/>
      <c r="K292" s="299"/>
      <c r="L292" s="299"/>
      <c r="M292" s="299"/>
      <c r="N292" s="299"/>
      <c r="O292" s="299"/>
      <c r="P292" s="299"/>
      <c r="Q292" s="265">
        <f t="shared" si="65"/>
        <v>0</v>
      </c>
      <c r="R292" s="265"/>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row>
    <row r="293" spans="1:41" ht="15.75" customHeight="1">
      <c r="A293" s="231" t="s">
        <v>671</v>
      </c>
      <c r="B293" s="260">
        <f>('Pivot Table for Data Exchange'!$L$186)*100</f>
        <v>60.296206660703952</v>
      </c>
      <c r="C293" s="260">
        <f>('Pivot Table for Data Exchange'!$L$189)*100</f>
        <v>4.2523807018466879</v>
      </c>
      <c r="D293" s="261">
        <f t="shared" si="68"/>
        <v>35.451412637449359</v>
      </c>
      <c r="E293" s="260">
        <f>('Pivot Table for Data Exchange'!$L$192)*100</f>
        <v>35.451412637449359</v>
      </c>
      <c r="F293" s="272">
        <f>('Pivot Table for Data Exchange'!$L$195)*100</f>
        <v>0</v>
      </c>
      <c r="G293" s="267">
        <f>('Pivot Table for Data Exchange'!$L$198)*100</f>
        <v>0</v>
      </c>
      <c r="H293" s="260">
        <f>('Pivot Table for Data Exchange'!$L$201)*100</f>
        <v>0</v>
      </c>
      <c r="I293" s="231"/>
      <c r="J293" s="299"/>
      <c r="K293" s="299"/>
      <c r="L293" s="299"/>
      <c r="M293" s="299"/>
      <c r="N293" s="299"/>
      <c r="O293" s="299"/>
      <c r="P293" s="299"/>
      <c r="Q293" s="265">
        <f t="shared" si="65"/>
        <v>100</v>
      </c>
      <c r="R293" s="265"/>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row>
    <row r="294" spans="1:41" ht="15.75" customHeight="1">
      <c r="A294" s="231" t="s">
        <v>672</v>
      </c>
      <c r="B294" s="260">
        <f>('Pivot Table for Data Exchange'!$L$222)*100</f>
        <v>81.872403362248846</v>
      </c>
      <c r="C294" s="260">
        <f>('Pivot Table for Data Exchange'!$L$225)*100</f>
        <v>0</v>
      </c>
      <c r="D294" s="261">
        <f t="shared" si="68"/>
        <v>18.127596637751161</v>
      </c>
      <c r="E294" s="260">
        <f>('Pivot Table for Data Exchange'!$L$228)*100</f>
        <v>18.127596637751161</v>
      </c>
      <c r="F294" s="260">
        <f>('Pivot Table for Data Exchange'!$L$231)*100</f>
        <v>0</v>
      </c>
      <c r="G294" s="268">
        <f>('Pivot Table for Data Exchange'!$L$234)*100</f>
        <v>0</v>
      </c>
      <c r="H294" s="260">
        <f>('Pivot Table for Data Exchange'!$L$237)*100</f>
        <v>0</v>
      </c>
      <c r="I294" s="231"/>
      <c r="J294" s="299"/>
      <c r="K294" s="299"/>
      <c r="L294" s="299"/>
      <c r="M294" s="299"/>
      <c r="N294" s="299"/>
      <c r="O294" s="299"/>
      <c r="P294" s="299"/>
      <c r="Q294" s="265">
        <f t="shared" si="65"/>
        <v>100</v>
      </c>
      <c r="R294" s="265"/>
      <c r="S294" s="266"/>
      <c r="T294" s="240"/>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row>
    <row r="295" spans="1:41" ht="15.75" customHeight="1">
      <c r="A295" s="231" t="s">
        <v>673</v>
      </c>
      <c r="B295" s="260">
        <f>('Pivot Table for Data Exchange'!$L$258)*100</f>
        <v>65.845351453813834</v>
      </c>
      <c r="C295" s="260">
        <f>('Pivot Table for Data Exchange'!$L$261)*100</f>
        <v>17.188923745441244</v>
      </c>
      <c r="D295" s="261">
        <f t="shared" si="68"/>
        <v>16.965724800744923</v>
      </c>
      <c r="E295" s="260">
        <f>('Pivot Table for Data Exchange'!$L$264)*100</f>
        <v>16.951314141290975</v>
      </c>
      <c r="F295" s="260">
        <f>('Pivot Table for Data Exchange'!$L$267)*100</f>
        <v>1.4410659453946857E-2</v>
      </c>
      <c r="G295" s="267">
        <f>('Pivot Table for Data Exchange'!$L$270)*100</f>
        <v>0</v>
      </c>
      <c r="H295" s="260">
        <f>('Pivot Table for Data Exchange'!$L$273)*100</f>
        <v>0</v>
      </c>
      <c r="I295" s="231"/>
      <c r="J295" s="299"/>
      <c r="K295" s="299"/>
      <c r="L295" s="299"/>
      <c r="M295" s="299"/>
      <c r="N295" s="299"/>
      <c r="O295" s="299"/>
      <c r="P295" s="299"/>
      <c r="Q295" s="265">
        <f t="shared" si="65"/>
        <v>100</v>
      </c>
      <c r="R295" s="265"/>
      <c r="S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row>
    <row r="296" spans="1:41" ht="9.75" customHeight="1">
      <c r="B296" s="260"/>
      <c r="C296" s="260"/>
      <c r="D296" s="261"/>
      <c r="E296" s="260"/>
      <c r="F296" s="260"/>
      <c r="G296" s="268"/>
      <c r="H296" s="260"/>
      <c r="I296" s="231"/>
      <c r="J296" s="299"/>
      <c r="K296" s="299"/>
      <c r="L296" s="299"/>
      <c r="M296" s="299"/>
      <c r="N296" s="299"/>
      <c r="O296" s="299"/>
      <c r="P296" s="299"/>
      <c r="Q296" s="265">
        <f t="shared" si="65"/>
        <v>0</v>
      </c>
      <c r="R296" s="265"/>
      <c r="S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c r="AO296" s="266"/>
    </row>
    <row r="297" spans="1:41" ht="15.75" customHeight="1">
      <c r="A297" s="231" t="s">
        <v>720</v>
      </c>
      <c r="B297" s="260">
        <f>('Pivot Table for Data Exchange'!$L$294)*100</f>
        <v>67.51965088582665</v>
      </c>
      <c r="C297" s="260">
        <f>('Pivot Table for Data Exchange'!$L$297)*100</f>
        <v>5.4438784948472794</v>
      </c>
      <c r="D297" s="261">
        <f t="shared" ref="D297:D299" si="69">SUM(E297:G297)</f>
        <v>27.036470619326064</v>
      </c>
      <c r="E297" s="260">
        <f>('Pivot Table for Data Exchange'!$L$300)*100</f>
        <v>27.036470619326064</v>
      </c>
      <c r="F297" s="260">
        <f>('Pivot Table for Data Exchange'!$L$303)*100</f>
        <v>0</v>
      </c>
      <c r="G297" s="268">
        <f>('Pivot Table for Data Exchange'!$L$306)*100</f>
        <v>0</v>
      </c>
      <c r="H297" s="260">
        <f>('Pivot Table for Data Exchange'!$L$309)*100</f>
        <v>0</v>
      </c>
      <c r="I297" s="306"/>
      <c r="J297" s="299"/>
      <c r="K297" s="299"/>
      <c r="L297" s="299"/>
      <c r="M297" s="299"/>
      <c r="N297" s="299"/>
      <c r="O297" s="299"/>
      <c r="P297" s="299"/>
      <c r="Q297" s="265">
        <f t="shared" si="65"/>
        <v>100</v>
      </c>
      <c r="R297" s="265"/>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row>
    <row r="298" spans="1:41" ht="15.75" customHeight="1">
      <c r="A298" s="231" t="s">
        <v>675</v>
      </c>
      <c r="B298" s="260">
        <f>('Pivot Table for Data Exchange'!$L$330)*100</f>
        <v>52.910217624155706</v>
      </c>
      <c r="C298" s="260">
        <f>('Pivot Table for Data Exchange'!$L$333)*100</f>
        <v>2.817376355144356</v>
      </c>
      <c r="D298" s="261">
        <f t="shared" si="69"/>
        <v>44.272406020699933</v>
      </c>
      <c r="E298" s="260">
        <f>('Pivot Table for Data Exchange'!$L$336)*100</f>
        <v>44.170187087988388</v>
      </c>
      <c r="F298" s="260">
        <f>('Pivot Table for Data Exchange'!$L$339)*100</f>
        <v>0.10221893271154547</v>
      </c>
      <c r="G298" s="268">
        <f>('Pivot Table for Data Exchange'!$L$342)*100</f>
        <v>0</v>
      </c>
      <c r="H298" s="260">
        <f>('Pivot Table for Data Exchange'!$L$345)*100</f>
        <v>0</v>
      </c>
      <c r="I298" s="231"/>
      <c r="J298" s="299"/>
      <c r="K298" s="299"/>
      <c r="L298" s="299"/>
      <c r="M298" s="299"/>
      <c r="N298" s="299"/>
      <c r="O298" s="299"/>
      <c r="P298" s="299"/>
      <c r="Q298" s="265">
        <f t="shared" si="65"/>
        <v>100</v>
      </c>
      <c r="R298" s="265"/>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row>
    <row r="299" spans="1:41" ht="15.75" customHeight="1">
      <c r="A299" s="231" t="s">
        <v>676</v>
      </c>
      <c r="B299" s="260">
        <f>('Pivot Table for Data Exchange'!$L$366)*100</f>
        <v>69.502749494188194</v>
      </c>
      <c r="C299" s="260">
        <f>('Pivot Table for Data Exchange'!$L$369)*100</f>
        <v>4.1284487584286724</v>
      </c>
      <c r="D299" s="261">
        <f t="shared" si="69"/>
        <v>26.368801747383134</v>
      </c>
      <c r="E299" s="260">
        <f>('Pivot Table for Data Exchange'!$L$372)*100</f>
        <v>25.965066972044067</v>
      </c>
      <c r="F299" s="260">
        <f>('Pivot Table for Data Exchange'!$L$375)*100</f>
        <v>0</v>
      </c>
      <c r="G299" s="268">
        <f>('Pivot Table for Data Exchange'!$L$378)*100</f>
        <v>0.40373477533906771</v>
      </c>
      <c r="H299" s="272">
        <f>('Pivot Table for Data Exchange'!$L$381)*100</f>
        <v>0</v>
      </c>
      <c r="I299" s="231"/>
      <c r="J299" s="299"/>
      <c r="K299" s="299"/>
      <c r="L299" s="299"/>
      <c r="M299" s="299"/>
      <c r="N299" s="299"/>
      <c r="O299" s="299"/>
      <c r="P299" s="299"/>
      <c r="Q299" s="265">
        <f t="shared" si="65"/>
        <v>100</v>
      </c>
      <c r="R299" s="265"/>
      <c r="S299" s="266"/>
      <c r="T299" s="240"/>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row>
    <row r="300" spans="1:41" ht="15.75" customHeight="1">
      <c r="A300" s="231" t="s">
        <v>677</v>
      </c>
      <c r="B300" s="260">
        <f>('Pivot Table for Data Exchange'!$L$402)*100</f>
        <v>56.493687072898567</v>
      </c>
      <c r="C300" s="260">
        <f>('Pivot Table for Data Exchange'!$L$405)*100</f>
        <v>6.9224029498724153</v>
      </c>
      <c r="D300" s="261">
        <f>SUM(E300:G300)</f>
        <v>36.583909977229013</v>
      </c>
      <c r="E300" s="260">
        <f>('Pivot Table for Data Exchange'!$L$408)*100</f>
        <v>36.583909977229013</v>
      </c>
      <c r="F300" s="260">
        <f>('Pivot Table for Data Exchange'!$L$411)*100</f>
        <v>0</v>
      </c>
      <c r="G300" s="268">
        <f>('Pivot Table for Data Exchange'!$L$414)*100</f>
        <v>0</v>
      </c>
      <c r="H300" s="260">
        <f>('Pivot Table for Data Exchange'!$L$417)*100</f>
        <v>0</v>
      </c>
      <c r="I300" s="231"/>
      <c r="J300" s="299"/>
      <c r="K300" s="299"/>
      <c r="L300" s="299"/>
      <c r="M300" s="299"/>
      <c r="N300" s="299"/>
      <c r="O300" s="299"/>
      <c r="P300" s="299"/>
      <c r="Q300" s="265">
        <f t="shared" si="65"/>
        <v>100</v>
      </c>
      <c r="R300" s="265"/>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c r="AO300" s="266"/>
    </row>
    <row r="301" spans="1:41" ht="11.25" customHeight="1">
      <c r="B301" s="260"/>
      <c r="C301" s="260"/>
      <c r="D301" s="261"/>
      <c r="E301" s="260"/>
      <c r="F301" s="260"/>
      <c r="G301" s="268"/>
      <c r="H301" s="260"/>
      <c r="I301" s="231"/>
      <c r="J301" s="299"/>
      <c r="K301" s="299"/>
      <c r="L301" s="299"/>
      <c r="M301" s="299"/>
      <c r="N301" s="299"/>
      <c r="O301" s="299"/>
      <c r="P301" s="299"/>
      <c r="Q301" s="265">
        <f t="shared" si="65"/>
        <v>0</v>
      </c>
      <c r="R301" s="265"/>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c r="AO301" s="266"/>
    </row>
    <row r="302" spans="1:41" ht="15.75" customHeight="1">
      <c r="A302" s="231" t="s">
        <v>678</v>
      </c>
      <c r="B302" s="260">
        <f>('Pivot Table for Data Exchange'!$L$438)*100</f>
        <v>40.752880829144559</v>
      </c>
      <c r="C302" s="260">
        <f>('Pivot Table for Data Exchange'!$L$441)*100</f>
        <v>31.077980742784771</v>
      </c>
      <c r="D302" s="261">
        <f>SUM(E302:G302)</f>
        <v>28.028902800524722</v>
      </c>
      <c r="E302" s="260">
        <f>('Pivot Table for Data Exchange'!$L$444)*100</f>
        <v>23.203280540297651</v>
      </c>
      <c r="F302" s="260">
        <f>('Pivot Table for Data Exchange'!$L$447)*100</f>
        <v>2.0373214655585144E-3</v>
      </c>
      <c r="G302" s="268">
        <f>('Pivot Table for Data Exchange'!$L$450)*100</f>
        <v>4.8235849387615124</v>
      </c>
      <c r="H302" s="260">
        <f>('Pivot Table for Data Exchange'!$L$453)*100</f>
        <v>0.14023562754594443</v>
      </c>
      <c r="I302" s="231"/>
      <c r="J302" s="299"/>
      <c r="K302" s="299"/>
      <c r="L302" s="299"/>
      <c r="M302" s="299"/>
      <c r="N302" s="299"/>
      <c r="O302" s="299"/>
      <c r="P302" s="299"/>
      <c r="Q302" s="265">
        <f t="shared" si="65"/>
        <v>100</v>
      </c>
      <c r="R302" s="265"/>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row>
    <row r="303" spans="1:41" ht="15.75" customHeight="1">
      <c r="A303" s="231" t="s">
        <v>679</v>
      </c>
      <c r="B303" s="260">
        <f>('Pivot Table for Data Exchange'!$L$474)*100</f>
        <v>0</v>
      </c>
      <c r="C303" s="260">
        <f>('Pivot Table for Data Exchange'!$L$477)*100</f>
        <v>0</v>
      </c>
      <c r="D303" s="261">
        <f>SUM(E303:G303)</f>
        <v>0</v>
      </c>
      <c r="E303" s="260">
        <f>('Pivot Table for Data Exchange'!$L$480)*100</f>
        <v>0</v>
      </c>
      <c r="F303" s="260">
        <f>('Pivot Table for Data Exchange'!$L$483)*100</f>
        <v>0</v>
      </c>
      <c r="G303" s="268">
        <f>('Pivot Table for Data Exchange'!$L$486)*100</f>
        <v>0</v>
      </c>
      <c r="H303" s="260">
        <f>('Pivot Table for Data Exchange'!$L$489)*100</f>
        <v>0</v>
      </c>
      <c r="I303" s="231"/>
      <c r="J303" s="299"/>
      <c r="K303" s="299"/>
      <c r="L303" s="299"/>
      <c r="M303" s="299"/>
      <c r="N303" s="299"/>
      <c r="O303" s="299"/>
      <c r="P303" s="299"/>
      <c r="Q303" s="265">
        <f t="shared" si="65"/>
        <v>0</v>
      </c>
      <c r="R303" s="265"/>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row>
    <row r="304" spans="1:41" ht="15.75" customHeight="1">
      <c r="A304" s="231" t="s">
        <v>680</v>
      </c>
      <c r="B304" s="260">
        <f>('Pivot Table for Data Exchange'!$L$510)*100</f>
        <v>61.340879734589635</v>
      </c>
      <c r="C304" s="260">
        <f>('Pivot Table for Data Exchange'!$L$513)*100</f>
        <v>9.7343216546342308</v>
      </c>
      <c r="D304" s="261">
        <f t="shared" ref="D304" si="70">SUM(E304:G304)</f>
        <v>28.924798610776136</v>
      </c>
      <c r="E304" s="260">
        <f>('Pivot Table for Data Exchange'!$L$516)*100</f>
        <v>28.881974927510601</v>
      </c>
      <c r="F304" s="260">
        <f>('Pivot Table for Data Exchange'!$L$519)*100</f>
        <v>4.2823683265533638E-2</v>
      </c>
      <c r="G304" s="268">
        <f>('Pivot Table for Data Exchange'!$L$522)*100</f>
        <v>0</v>
      </c>
      <c r="H304" s="260">
        <f>('Pivot Table for Data Exchange'!$L$525)*100</f>
        <v>0</v>
      </c>
      <c r="I304" s="231"/>
      <c r="J304" s="299"/>
      <c r="K304" s="299"/>
      <c r="L304" s="299"/>
      <c r="M304" s="299"/>
      <c r="N304" s="299"/>
      <c r="O304" s="299"/>
      <c r="P304" s="299"/>
      <c r="Q304" s="265">
        <f t="shared" si="65"/>
        <v>100</v>
      </c>
      <c r="R304" s="265"/>
      <c r="S304" s="266"/>
      <c r="T304" s="266"/>
      <c r="U304" s="266"/>
      <c r="V304" s="266"/>
      <c r="W304" s="266"/>
      <c r="X304" s="266"/>
      <c r="Y304" s="266"/>
      <c r="Z304" s="266"/>
      <c r="AA304" s="266"/>
      <c r="AB304" s="266"/>
      <c r="AC304" s="266"/>
      <c r="AD304" s="266"/>
      <c r="AE304" s="266"/>
      <c r="AF304" s="266"/>
      <c r="AG304" s="266"/>
      <c r="AH304" s="266"/>
      <c r="AI304" s="266"/>
      <c r="AJ304" s="266"/>
      <c r="AK304" s="266"/>
      <c r="AL304" s="266"/>
      <c r="AM304" s="266"/>
      <c r="AN304" s="266"/>
      <c r="AO304" s="266"/>
    </row>
    <row r="305" spans="1:41" ht="15.75" customHeight="1">
      <c r="A305" s="237" t="s">
        <v>681</v>
      </c>
      <c r="B305" s="273">
        <f>('Pivot Table for Data Exchange'!$L$546)*100</f>
        <v>0</v>
      </c>
      <c r="C305" s="273">
        <f>('Pivot Table for Data Exchange'!$L$549)*100</f>
        <v>0</v>
      </c>
      <c r="D305" s="274">
        <f>SUM(E305:G305)</f>
        <v>0</v>
      </c>
      <c r="E305" s="273">
        <f>('Pivot Table for Data Exchange'!$L$552)*100</f>
        <v>0</v>
      </c>
      <c r="F305" s="273">
        <f>('Pivot Table for Data Exchange'!$L$555)*100</f>
        <v>0</v>
      </c>
      <c r="G305" s="275">
        <f>('Pivot Table for Data Exchange'!$L$558)*100</f>
        <v>0</v>
      </c>
      <c r="H305" s="273">
        <f>('Pivot Table for Data Exchange'!$L$561)*100</f>
        <v>0</v>
      </c>
      <c r="I305" s="231"/>
      <c r="J305" s="299"/>
      <c r="K305" s="299"/>
      <c r="L305" s="299"/>
      <c r="M305" s="299"/>
      <c r="N305" s="299"/>
      <c r="O305" s="299"/>
      <c r="P305" s="299"/>
      <c r="Q305" s="265">
        <f t="shared" si="65"/>
        <v>0</v>
      </c>
      <c r="R305" s="265"/>
      <c r="S305" s="266"/>
      <c r="T305" s="266"/>
      <c r="U305" s="266"/>
      <c r="V305" s="266"/>
      <c r="W305" s="266"/>
      <c r="X305" s="266"/>
      <c r="Y305" s="266"/>
      <c r="Z305" s="266"/>
      <c r="AA305" s="266"/>
      <c r="AB305" s="266"/>
      <c r="AC305" s="266"/>
      <c r="AD305" s="266"/>
      <c r="AE305" s="266"/>
      <c r="AF305" s="266"/>
      <c r="AG305" s="266"/>
      <c r="AH305" s="266"/>
      <c r="AI305" s="266"/>
      <c r="AJ305" s="266"/>
      <c r="AK305" s="266"/>
      <c r="AL305" s="266"/>
      <c r="AM305" s="266"/>
      <c r="AN305" s="266"/>
      <c r="AO305" s="266"/>
    </row>
    <row r="306" spans="1:41" s="278" customFormat="1" ht="13.5" customHeight="1">
      <c r="A306" s="279" t="s">
        <v>706</v>
      </c>
      <c r="B306" s="280"/>
      <c r="C306" s="280"/>
      <c r="D306" s="281"/>
      <c r="E306" s="280"/>
      <c r="F306" s="281"/>
      <c r="G306" s="281"/>
      <c r="H306" s="280"/>
      <c r="I306" s="289"/>
      <c r="J306" s="280"/>
      <c r="K306" s="280"/>
      <c r="L306" s="281"/>
      <c r="M306" s="280"/>
      <c r="N306" s="281"/>
      <c r="O306" s="281"/>
      <c r="P306" s="280"/>
      <c r="Q306" s="265">
        <f t="shared" si="65"/>
        <v>0</v>
      </c>
      <c r="R306" s="300"/>
      <c r="S306" s="282"/>
      <c r="T306" s="282"/>
      <c r="U306" s="282"/>
      <c r="V306" s="282"/>
      <c r="W306" s="282"/>
      <c r="X306" s="282"/>
      <c r="Y306" s="282"/>
      <c r="Z306" s="282"/>
      <c r="AA306" s="282"/>
      <c r="AB306" s="282"/>
      <c r="AC306" s="282"/>
      <c r="AD306" s="282"/>
      <c r="AE306" s="282"/>
      <c r="AF306" s="282"/>
      <c r="AG306" s="282"/>
      <c r="AH306" s="282"/>
      <c r="AI306" s="282"/>
      <c r="AJ306" s="282"/>
      <c r="AK306" s="282"/>
      <c r="AL306" s="282"/>
      <c r="AM306" s="282"/>
      <c r="AN306" s="282"/>
      <c r="AO306" s="282"/>
    </row>
    <row r="307" spans="1:41" s="278" customFormat="1" ht="24" customHeight="1">
      <c r="A307" s="490" t="s">
        <v>721</v>
      </c>
      <c r="B307" s="503"/>
      <c r="C307" s="503"/>
      <c r="D307" s="503"/>
      <c r="E307" s="503"/>
      <c r="F307" s="503"/>
      <c r="G307" s="503"/>
      <c r="H307" s="503"/>
      <c r="I307" s="289"/>
      <c r="P307" s="291"/>
      <c r="Q307" s="265">
        <f t="shared" si="65"/>
        <v>0</v>
      </c>
      <c r="R307" s="301"/>
    </row>
    <row r="308" spans="1:41" s="278" customFormat="1" ht="13.5" customHeight="1">
      <c r="A308" s="289"/>
      <c r="I308" s="289"/>
      <c r="Q308" s="265">
        <f t="shared" si="65"/>
        <v>0</v>
      </c>
      <c r="R308" s="301"/>
    </row>
    <row r="309" spans="1:41" s="278" customFormat="1">
      <c r="H309" s="284" t="s">
        <v>839</v>
      </c>
      <c r="I309" s="305"/>
      <c r="Q309" s="265">
        <f t="shared" si="65"/>
        <v>0</v>
      </c>
      <c r="R309" s="301"/>
    </row>
    <row r="310" spans="1:41" ht="18">
      <c r="A310" s="226" t="s">
        <v>725</v>
      </c>
      <c r="B310" s="227"/>
      <c r="C310" s="227"/>
      <c r="D310" s="227"/>
      <c r="E310" s="227"/>
      <c r="F310" s="227"/>
      <c r="G310" s="227"/>
      <c r="H310" s="227"/>
      <c r="Q310" s="265">
        <f t="shared" si="65"/>
        <v>0</v>
      </c>
    </row>
    <row r="311" spans="1:41" ht="13">
      <c r="A311" s="232"/>
      <c r="B311" s="228"/>
      <c r="C311" s="228"/>
      <c r="D311" s="228"/>
      <c r="E311" s="228"/>
      <c r="F311" s="228"/>
      <c r="G311" s="228"/>
      <c r="H311" s="228"/>
      <c r="Q311" s="265">
        <f t="shared" si="65"/>
        <v>0</v>
      </c>
    </row>
    <row r="312" spans="1:41" ht="15.5">
      <c r="A312" s="234" t="s">
        <v>687</v>
      </c>
      <c r="B312" s="228"/>
      <c r="C312" s="228"/>
      <c r="D312" s="228"/>
      <c r="E312" s="228"/>
      <c r="F312" s="228"/>
      <c r="G312" s="228"/>
      <c r="H312" s="228"/>
      <c r="Q312" s="265">
        <f t="shared" si="65"/>
        <v>0</v>
      </c>
    </row>
    <row r="313" spans="1:41" ht="15.5">
      <c r="A313" s="234" t="s">
        <v>774</v>
      </c>
      <c r="B313" s="228"/>
      <c r="C313" s="228"/>
      <c r="D313" s="228"/>
      <c r="E313" s="228"/>
      <c r="F313" s="228"/>
      <c r="G313" s="228"/>
      <c r="H313" s="228"/>
      <c r="Q313" s="265">
        <f t="shared" si="65"/>
        <v>0</v>
      </c>
    </row>
    <row r="314" spans="1:41">
      <c r="A314" s="237"/>
      <c r="B314" s="238"/>
      <c r="C314" s="238"/>
      <c r="D314" s="238"/>
      <c r="E314" s="238"/>
      <c r="F314" s="238"/>
      <c r="G314" s="238"/>
      <c r="H314" s="238"/>
      <c r="Q314" s="265">
        <f t="shared" si="65"/>
        <v>0</v>
      </c>
    </row>
    <row r="315" spans="1:41">
      <c r="A315" s="242"/>
      <c r="B315" s="243" t="s">
        <v>689</v>
      </c>
      <c r="C315" s="243"/>
      <c r="D315" s="243"/>
      <c r="E315" s="243"/>
      <c r="F315" s="243"/>
      <c r="G315" s="243"/>
      <c r="H315" s="244"/>
      <c r="Q315" s="265">
        <f t="shared" si="65"/>
        <v>0</v>
      </c>
    </row>
    <row r="316" spans="1:41">
      <c r="A316" s="242"/>
      <c r="B316" s="243" t="s">
        <v>690</v>
      </c>
      <c r="C316" s="243"/>
      <c r="D316" s="485" t="s">
        <v>691</v>
      </c>
      <c r="E316" s="483"/>
      <c r="F316" s="483"/>
      <c r="G316" s="483"/>
      <c r="H316" s="250" t="s">
        <v>581</v>
      </c>
      <c r="Q316" s="265">
        <f t="shared" si="65"/>
        <v>0</v>
      </c>
    </row>
    <row r="317" spans="1:41" ht="34.5">
      <c r="A317" s="242"/>
      <c r="B317" s="251" t="s">
        <v>692</v>
      </c>
      <c r="C317" s="252" t="s">
        <v>693</v>
      </c>
      <c r="D317" s="253" t="s">
        <v>694</v>
      </c>
      <c r="E317" s="254" t="s">
        <v>8</v>
      </c>
      <c r="F317" s="251" t="s">
        <v>695</v>
      </c>
      <c r="G317" s="255" t="s">
        <v>704</v>
      </c>
      <c r="H317" s="256" t="s">
        <v>697</v>
      </c>
      <c r="Q317" s="265">
        <f t="shared" si="65"/>
        <v>0</v>
      </c>
    </row>
    <row r="318" spans="1:41" ht="15.75" customHeight="1">
      <c r="A318" s="286" t="s">
        <v>666</v>
      </c>
      <c r="B318" s="260">
        <f>('Pivot Table for Data Exchange'!$M$6)*100</f>
        <v>61.235526323553422</v>
      </c>
      <c r="C318" s="260">
        <f>('Pivot Table for Data Exchange'!$M$9)*100</f>
        <v>14.299117073775184</v>
      </c>
      <c r="D318" s="261">
        <f>SUM(E318:G318)</f>
        <v>24.465356602671395</v>
      </c>
      <c r="E318" s="260">
        <f>('Pivot Table for Data Exchange'!$M$12)*100</f>
        <v>23.758563243598342</v>
      </c>
      <c r="F318" s="260">
        <f>('Pivot Table for Data Exchange'!$M$15)*100</f>
        <v>0.37203273652057439</v>
      </c>
      <c r="G318" s="264">
        <f>('Pivot Table for Data Exchange'!$M$18)*100</f>
        <v>0.3347606225524809</v>
      </c>
      <c r="H318" s="269">
        <f>('Pivot Table for Data Exchange'!$M$21)*100</f>
        <v>0</v>
      </c>
      <c r="I318" s="231"/>
      <c r="J318" s="299"/>
      <c r="K318" s="299"/>
      <c r="L318" s="299"/>
      <c r="M318" s="299"/>
      <c r="N318" s="299"/>
      <c r="O318" s="299"/>
      <c r="P318" s="299"/>
      <c r="Q318" s="265">
        <f t="shared" si="65"/>
        <v>100</v>
      </c>
      <c r="R318" s="265"/>
      <c r="S318" s="266"/>
      <c r="T318" s="266"/>
      <c r="U318" s="266"/>
      <c r="V318" s="266"/>
      <c r="W318" s="266"/>
      <c r="X318" s="266"/>
      <c r="Y318" s="266"/>
      <c r="Z318" s="266"/>
      <c r="AA318" s="266"/>
      <c r="AB318" s="266"/>
      <c r="AC318" s="266"/>
      <c r="AD318" s="266"/>
      <c r="AE318" s="266"/>
      <c r="AF318" s="266"/>
      <c r="AG318" s="266"/>
      <c r="AH318" s="266"/>
      <c r="AI318" s="266"/>
      <c r="AJ318" s="266"/>
      <c r="AK318" s="266"/>
      <c r="AL318" s="266"/>
      <c r="AM318" s="266"/>
      <c r="AN318" s="266"/>
      <c r="AO318" s="266"/>
    </row>
    <row r="319" spans="1:41" ht="15.75" customHeight="1">
      <c r="A319" s="231" t="s">
        <v>667</v>
      </c>
      <c r="B319" s="260">
        <f>('Pivot Table for Data Exchange'!$M$42)*100</f>
        <v>62.943070349641928</v>
      </c>
      <c r="C319" s="260">
        <f>('Pivot Table for Data Exchange'!$M$45)*100</f>
        <v>5.9281659344847641</v>
      </c>
      <c r="D319" s="261">
        <f t="shared" ref="D319:D321" si="71">SUM(E319:G319)</f>
        <v>31.061563459108143</v>
      </c>
      <c r="E319" s="260">
        <f>('Pivot Table for Data Exchange'!$M$48)*100</f>
        <v>31.032978275260277</v>
      </c>
      <c r="F319" s="260">
        <f>('Pivot Table for Data Exchange'!$M$51)*100</f>
        <v>2.8585183847866645E-2</v>
      </c>
      <c r="G319" s="268">
        <f>('Pivot Table for Data Exchange'!$M$54)*100</f>
        <v>0</v>
      </c>
      <c r="H319" s="260">
        <f>('Pivot Table for Data Exchange'!$M$57)*100</f>
        <v>6.7200256765160185E-2</v>
      </c>
      <c r="I319" s="231"/>
      <c r="J319" s="299"/>
      <c r="K319" s="299"/>
      <c r="L319" s="299"/>
      <c r="M319" s="299"/>
      <c r="N319" s="299"/>
      <c r="O319" s="299"/>
      <c r="P319" s="299"/>
      <c r="Q319" s="265">
        <f t="shared" si="65"/>
        <v>100</v>
      </c>
      <c r="R319" s="265"/>
      <c r="S319" s="266"/>
      <c r="T319" s="266"/>
      <c r="U319" s="266"/>
      <c r="V319" s="266"/>
      <c r="W319" s="266"/>
      <c r="X319" s="266"/>
      <c r="Y319" s="266"/>
      <c r="Z319" s="266"/>
      <c r="AA319" s="266"/>
      <c r="AB319" s="266"/>
      <c r="AC319" s="266"/>
      <c r="AD319" s="266"/>
      <c r="AE319" s="266"/>
      <c r="AF319" s="266"/>
      <c r="AG319" s="266"/>
      <c r="AH319" s="266"/>
      <c r="AI319" s="266"/>
      <c r="AJ319" s="266"/>
      <c r="AK319" s="266"/>
      <c r="AL319" s="266"/>
      <c r="AM319" s="266"/>
      <c r="AN319" s="266"/>
      <c r="AO319" s="266"/>
    </row>
    <row r="320" spans="1:41" ht="15.75" customHeight="1">
      <c r="A320" s="231" t="s">
        <v>668</v>
      </c>
      <c r="B320" s="260">
        <f>('Pivot Table for Data Exchange'!$M$78)*100</f>
        <v>80.386420543015547</v>
      </c>
      <c r="C320" s="260">
        <f>('Pivot Table for Data Exchange'!$M$81)*100</f>
        <v>0</v>
      </c>
      <c r="D320" s="261">
        <f t="shared" si="71"/>
        <v>19.613579456984453</v>
      </c>
      <c r="E320" s="260">
        <f>('Pivot Table for Data Exchange'!$M$84)*100</f>
        <v>19.027365290943454</v>
      </c>
      <c r="F320" s="260">
        <f>('Pivot Table for Data Exchange'!$M$87)*100</f>
        <v>0.38020704270671907</v>
      </c>
      <c r="G320" s="268">
        <f>('Pivot Table for Data Exchange'!$M$90)*100</f>
        <v>0.20600712333428262</v>
      </c>
      <c r="H320" s="260">
        <f>('Pivot Table for Data Exchange'!$M$93)*100</f>
        <v>0</v>
      </c>
      <c r="I320" s="231"/>
      <c r="J320" s="299"/>
      <c r="K320" s="299"/>
      <c r="L320" s="299"/>
      <c r="M320" s="299"/>
      <c r="N320" s="299"/>
      <c r="O320" s="299"/>
      <c r="P320" s="299"/>
      <c r="Q320" s="265">
        <f t="shared" si="65"/>
        <v>100</v>
      </c>
      <c r="R320" s="265"/>
      <c r="S320" s="266"/>
      <c r="T320" s="240"/>
      <c r="U320" s="266"/>
      <c r="V320" s="266"/>
      <c r="W320" s="266"/>
      <c r="X320" s="266"/>
      <c r="Y320" s="266"/>
      <c r="Z320" s="266"/>
      <c r="AA320" s="266"/>
      <c r="AB320" s="266"/>
      <c r="AC320" s="266"/>
      <c r="AD320" s="266"/>
      <c r="AE320" s="266"/>
      <c r="AF320" s="266"/>
      <c r="AG320" s="266"/>
      <c r="AH320" s="266"/>
      <c r="AI320" s="266"/>
      <c r="AJ320" s="266"/>
      <c r="AK320" s="266"/>
      <c r="AL320" s="266"/>
      <c r="AM320" s="266"/>
      <c r="AN320" s="266"/>
      <c r="AO320" s="266"/>
    </row>
    <row r="321" spans="1:41" ht="15.75" customHeight="1">
      <c r="A321" s="231" t="s">
        <v>705</v>
      </c>
      <c r="B321" s="260">
        <f>('Pivot Table for Data Exchange'!$M$114)*100</f>
        <v>0</v>
      </c>
      <c r="C321" s="260">
        <f>('Pivot Table for Data Exchange'!$M$117)*100</f>
        <v>0</v>
      </c>
      <c r="D321" s="261">
        <f t="shared" si="71"/>
        <v>0</v>
      </c>
      <c r="E321" s="260">
        <f>('Pivot Table for Data Exchange'!$M$120)*100</f>
        <v>0</v>
      </c>
      <c r="F321" s="260">
        <f>('Pivot Table for Data Exchange'!$M$123)*100</f>
        <v>0</v>
      </c>
      <c r="G321" s="267">
        <f>('Pivot Table for Data Exchange'!$M$126)*100</f>
        <v>0</v>
      </c>
      <c r="H321" s="260">
        <f>('Pivot Table for Data Exchange'!$M$129)*100</f>
        <v>0</v>
      </c>
      <c r="I321" s="231"/>
      <c r="J321" s="299"/>
      <c r="K321" s="299"/>
      <c r="L321" s="299"/>
      <c r="M321" s="299"/>
      <c r="N321" s="299"/>
      <c r="O321" s="299"/>
      <c r="P321" s="299"/>
      <c r="Q321" s="265">
        <f t="shared" si="65"/>
        <v>0</v>
      </c>
      <c r="R321" s="265"/>
      <c r="S321" s="266"/>
      <c r="U321" s="266"/>
      <c r="V321" s="266"/>
      <c r="W321" s="266"/>
      <c r="X321" s="266"/>
      <c r="Y321" s="266"/>
      <c r="Z321" s="266"/>
      <c r="AA321" s="266"/>
      <c r="AB321" s="266"/>
      <c r="AC321" s="266"/>
      <c r="AD321" s="266"/>
      <c r="AE321" s="266"/>
      <c r="AF321" s="266"/>
      <c r="AG321" s="266"/>
      <c r="AH321" s="266"/>
      <c r="AI321" s="266"/>
      <c r="AJ321" s="266"/>
      <c r="AK321" s="266"/>
      <c r="AL321" s="266"/>
      <c r="AM321" s="266"/>
      <c r="AN321" s="266"/>
      <c r="AO321" s="266"/>
    </row>
    <row r="322" spans="1:41" ht="15.75" customHeight="1">
      <c r="B322" s="260"/>
      <c r="C322" s="260"/>
      <c r="D322" s="261"/>
      <c r="E322" s="260"/>
      <c r="F322" s="260"/>
      <c r="G322" s="268"/>
      <c r="H322" s="260"/>
      <c r="I322" s="231"/>
      <c r="J322" s="299"/>
      <c r="K322" s="299"/>
      <c r="L322" s="299"/>
      <c r="M322" s="299"/>
      <c r="N322" s="299"/>
      <c r="O322" s="299"/>
      <c r="P322" s="299"/>
      <c r="Q322" s="265">
        <f t="shared" si="65"/>
        <v>0</v>
      </c>
      <c r="R322" s="265"/>
      <c r="S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row>
    <row r="323" spans="1:41" ht="15.75" customHeight="1">
      <c r="A323" s="231" t="s">
        <v>670</v>
      </c>
      <c r="B323" s="260">
        <f>('Pivot Table for Data Exchange'!$M$150)*100</f>
        <v>0</v>
      </c>
      <c r="C323" s="260">
        <f>('Pivot Table for Data Exchange'!$M$153)*100</f>
        <v>0</v>
      </c>
      <c r="D323" s="261">
        <f t="shared" ref="D323:D326" si="72">SUM(E323:G323)</f>
        <v>0</v>
      </c>
      <c r="E323" s="260">
        <f>('Pivot Table for Data Exchange'!$M$156)*100</f>
        <v>0</v>
      </c>
      <c r="F323" s="260">
        <f>('Pivot Table for Data Exchange'!$M$159)*100</f>
        <v>0</v>
      </c>
      <c r="G323" s="268">
        <f>('Pivot Table for Data Exchange'!$M$162)*100</f>
        <v>0</v>
      </c>
      <c r="H323" s="260">
        <f>('Pivot Table for Data Exchange'!$M$165)*100</f>
        <v>0</v>
      </c>
      <c r="I323" s="231"/>
      <c r="J323" s="299"/>
      <c r="K323" s="299"/>
      <c r="L323" s="299"/>
      <c r="M323" s="299"/>
      <c r="N323" s="299"/>
      <c r="O323" s="299"/>
      <c r="P323" s="299"/>
      <c r="Q323" s="265">
        <f t="shared" si="65"/>
        <v>0</v>
      </c>
      <c r="R323" s="265"/>
      <c r="S323" s="266"/>
      <c r="T323" s="266"/>
      <c r="U323" s="266"/>
      <c r="V323" s="266"/>
      <c r="W323" s="266"/>
      <c r="X323" s="266"/>
      <c r="Y323" s="266"/>
      <c r="Z323" s="266"/>
      <c r="AA323" s="266"/>
      <c r="AB323" s="266"/>
      <c r="AC323" s="266"/>
      <c r="AD323" s="266"/>
      <c r="AE323" s="266"/>
      <c r="AF323" s="266"/>
      <c r="AG323" s="266"/>
      <c r="AH323" s="266"/>
      <c r="AI323" s="266"/>
      <c r="AJ323" s="266"/>
      <c r="AK323" s="266"/>
      <c r="AL323" s="266"/>
      <c r="AM323" s="266"/>
      <c r="AN323" s="266"/>
      <c r="AO323" s="266"/>
    </row>
    <row r="324" spans="1:41" ht="15.75" customHeight="1">
      <c r="A324" s="231" t="s">
        <v>671</v>
      </c>
      <c r="B324" s="260">
        <f>('Pivot Table for Data Exchange'!$M$186)*100</f>
        <v>46.575993543856384</v>
      </c>
      <c r="C324" s="260">
        <f>('Pivot Table for Data Exchange'!$M$189)*100</f>
        <v>5.6755089450956202</v>
      </c>
      <c r="D324" s="261">
        <f t="shared" si="72"/>
        <v>47.748497511048001</v>
      </c>
      <c r="E324" s="260">
        <f>('Pivot Table for Data Exchange'!$M$192)*100</f>
        <v>47.748497511048001</v>
      </c>
      <c r="F324" s="260">
        <f>('Pivot Table for Data Exchange'!$M$195)*100</f>
        <v>0</v>
      </c>
      <c r="G324" s="268">
        <f>('Pivot Table for Data Exchange'!$M$198)*100</f>
        <v>0</v>
      </c>
      <c r="H324" s="260">
        <f>('Pivot Table for Data Exchange'!$M$201)*100</f>
        <v>0</v>
      </c>
      <c r="I324" s="231"/>
      <c r="J324" s="299"/>
      <c r="K324" s="299"/>
      <c r="L324" s="299"/>
      <c r="M324" s="299"/>
      <c r="N324" s="299"/>
      <c r="O324" s="299"/>
      <c r="P324" s="299"/>
      <c r="Q324" s="265">
        <f t="shared" si="65"/>
        <v>100</v>
      </c>
      <c r="R324" s="265"/>
      <c r="S324" s="266"/>
      <c r="T324" s="266"/>
      <c r="U324" s="266"/>
      <c r="V324" s="266"/>
      <c r="W324" s="266"/>
      <c r="X324" s="266"/>
      <c r="Y324" s="266"/>
      <c r="Z324" s="266"/>
      <c r="AA324" s="266"/>
      <c r="AB324" s="266"/>
      <c r="AC324" s="266"/>
      <c r="AD324" s="266"/>
      <c r="AE324" s="266"/>
      <c r="AF324" s="266"/>
      <c r="AG324" s="266"/>
      <c r="AH324" s="266"/>
      <c r="AI324" s="266"/>
      <c r="AJ324" s="266"/>
      <c r="AK324" s="266"/>
      <c r="AL324" s="266"/>
      <c r="AM324" s="266"/>
      <c r="AN324" s="266"/>
      <c r="AO324" s="266"/>
    </row>
    <row r="325" spans="1:41" ht="15.75" customHeight="1">
      <c r="A325" s="231" t="s">
        <v>672</v>
      </c>
      <c r="B325" s="260">
        <f>('Pivot Table for Data Exchange'!$M$222)*100</f>
        <v>75.493043213809955</v>
      </c>
      <c r="C325" s="260">
        <f>('Pivot Table for Data Exchange'!$M$225)*100</f>
        <v>0</v>
      </c>
      <c r="D325" s="261">
        <f t="shared" si="72"/>
        <v>24.506956786190035</v>
      </c>
      <c r="E325" s="260">
        <f>('Pivot Table for Data Exchange'!$M$228)*100</f>
        <v>24.506956786190035</v>
      </c>
      <c r="F325" s="260">
        <f>('Pivot Table for Data Exchange'!$M$231)*100</f>
        <v>0</v>
      </c>
      <c r="G325" s="268">
        <f>('Pivot Table for Data Exchange'!$M$234)*100</f>
        <v>0</v>
      </c>
      <c r="H325" s="260">
        <f>('Pivot Table for Data Exchange'!$M$237)*100</f>
        <v>0</v>
      </c>
      <c r="I325" s="231"/>
      <c r="J325" s="299"/>
      <c r="K325" s="299"/>
      <c r="L325" s="299"/>
      <c r="M325" s="299"/>
      <c r="N325" s="299"/>
      <c r="O325" s="299"/>
      <c r="P325" s="299"/>
      <c r="Q325" s="265">
        <f t="shared" si="65"/>
        <v>99.999999999999986</v>
      </c>
      <c r="R325" s="265"/>
      <c r="S325" s="266"/>
      <c r="T325" s="240"/>
      <c r="U325" s="266"/>
      <c r="V325" s="266"/>
      <c r="W325" s="266"/>
      <c r="X325" s="266"/>
      <c r="Y325" s="266"/>
      <c r="Z325" s="266"/>
      <c r="AA325" s="266"/>
      <c r="AB325" s="266"/>
      <c r="AC325" s="266"/>
      <c r="AD325" s="266"/>
      <c r="AE325" s="266"/>
      <c r="AF325" s="266"/>
      <c r="AG325" s="266"/>
      <c r="AH325" s="266"/>
      <c r="AI325" s="266"/>
      <c r="AJ325" s="266"/>
      <c r="AK325" s="266"/>
      <c r="AL325" s="266"/>
      <c r="AM325" s="266"/>
      <c r="AN325" s="266"/>
      <c r="AO325" s="266"/>
    </row>
    <row r="326" spans="1:41" ht="15.75" customHeight="1">
      <c r="A326" s="231" t="s">
        <v>673</v>
      </c>
      <c r="B326" s="260">
        <f>('Pivot Table for Data Exchange'!$M$258)*100</f>
        <v>65.439893873095542</v>
      </c>
      <c r="C326" s="260">
        <f>('Pivot Table for Data Exchange'!$M$261)*100</f>
        <v>5.7612929133168542</v>
      </c>
      <c r="D326" s="261">
        <f t="shared" si="72"/>
        <v>28.781927469043239</v>
      </c>
      <c r="E326" s="260">
        <f>('Pivot Table for Data Exchange'!$M$264)*100</f>
        <v>28.717726461140185</v>
      </c>
      <c r="F326" s="260">
        <f>('Pivot Table for Data Exchange'!$M$267)*100</f>
        <v>6.420100790305612E-2</v>
      </c>
      <c r="G326" s="268">
        <f>('Pivot Table for Data Exchange'!$M$270)*100</f>
        <v>0</v>
      </c>
      <c r="H326" s="272">
        <f>('Pivot Table for Data Exchange'!$M$273)*100</f>
        <v>1.6885744544365446E-2</v>
      </c>
      <c r="I326" s="231"/>
      <c r="J326" s="299"/>
      <c r="K326" s="299"/>
      <c r="L326" s="299"/>
      <c r="M326" s="299"/>
      <c r="N326" s="299"/>
      <c r="O326" s="299"/>
      <c r="P326" s="299"/>
      <c r="Q326" s="265">
        <f t="shared" si="65"/>
        <v>100</v>
      </c>
      <c r="R326" s="265"/>
      <c r="S326" s="266"/>
      <c r="U326" s="266"/>
      <c r="V326" s="266"/>
      <c r="W326" s="266"/>
      <c r="X326" s="266"/>
      <c r="Y326" s="266"/>
      <c r="Z326" s="266"/>
      <c r="AA326" s="266"/>
      <c r="AB326" s="266"/>
      <c r="AC326" s="266"/>
      <c r="AD326" s="266"/>
      <c r="AE326" s="266"/>
      <c r="AF326" s="266"/>
      <c r="AG326" s="266"/>
      <c r="AH326" s="266"/>
      <c r="AI326" s="266"/>
      <c r="AJ326" s="266"/>
      <c r="AK326" s="266"/>
      <c r="AL326" s="266"/>
      <c r="AM326" s="266"/>
      <c r="AN326" s="266"/>
      <c r="AO326" s="266"/>
    </row>
    <row r="327" spans="1:41" ht="12" customHeight="1">
      <c r="B327" s="260"/>
      <c r="C327" s="260"/>
      <c r="D327" s="261"/>
      <c r="E327" s="260"/>
      <c r="F327" s="260"/>
      <c r="G327" s="268"/>
      <c r="H327" s="260"/>
      <c r="I327" s="231"/>
      <c r="J327" s="299"/>
      <c r="K327" s="299"/>
      <c r="L327" s="299"/>
      <c r="M327" s="299"/>
      <c r="N327" s="299"/>
      <c r="O327" s="299"/>
      <c r="P327" s="299"/>
      <c r="Q327" s="265">
        <f t="shared" si="65"/>
        <v>0</v>
      </c>
      <c r="R327" s="265"/>
      <c r="S327" s="266"/>
      <c r="U327" s="266"/>
      <c r="V327" s="266"/>
      <c r="W327" s="266"/>
      <c r="X327" s="266"/>
      <c r="Y327" s="266"/>
      <c r="Z327" s="266"/>
      <c r="AA327" s="266"/>
      <c r="AB327" s="266"/>
      <c r="AC327" s="266"/>
      <c r="AD327" s="266"/>
      <c r="AE327" s="266"/>
      <c r="AF327" s="266"/>
      <c r="AG327" s="266"/>
      <c r="AH327" s="266"/>
      <c r="AI327" s="266"/>
      <c r="AJ327" s="266"/>
      <c r="AK327" s="266"/>
      <c r="AL327" s="266"/>
      <c r="AM327" s="266"/>
      <c r="AN327" s="266"/>
      <c r="AO327" s="266"/>
    </row>
    <row r="328" spans="1:41" ht="15.75" customHeight="1">
      <c r="A328" s="231" t="s">
        <v>720</v>
      </c>
      <c r="B328" s="260">
        <f>('Pivot Table for Data Exchange'!$M$294)*100</f>
        <v>69.382279468814616</v>
      </c>
      <c r="C328" s="260">
        <f>('Pivot Table for Data Exchange'!$M$297)*100</f>
        <v>2.9025935875644135</v>
      </c>
      <c r="D328" s="261">
        <f t="shared" ref="D328:D330" si="73">SUM(E328:G328)</f>
        <v>27.715126943620977</v>
      </c>
      <c r="E328" s="260">
        <f>('Pivot Table for Data Exchange'!$M$300)*100</f>
        <v>27.715126943620977</v>
      </c>
      <c r="F328" s="260">
        <f>('Pivot Table for Data Exchange'!$M$303)*100</f>
        <v>0</v>
      </c>
      <c r="G328" s="268">
        <f>('Pivot Table for Data Exchange'!$M$306)*100</f>
        <v>0</v>
      </c>
      <c r="H328" s="260">
        <f>('Pivot Table for Data Exchange'!$M$309)*100</f>
        <v>0</v>
      </c>
      <c r="I328" s="306"/>
      <c r="J328" s="299"/>
      <c r="K328" s="299"/>
      <c r="L328" s="299"/>
      <c r="M328" s="299"/>
      <c r="N328" s="299"/>
      <c r="O328" s="299"/>
      <c r="P328" s="299"/>
      <c r="Q328" s="265">
        <f t="shared" si="65"/>
        <v>100</v>
      </c>
      <c r="R328" s="265"/>
      <c r="S328" s="266"/>
      <c r="T328" s="266"/>
      <c r="U328" s="266"/>
      <c r="V328" s="266"/>
      <c r="W328" s="266"/>
      <c r="X328" s="266"/>
      <c r="Y328" s="266"/>
      <c r="Z328" s="266"/>
      <c r="AA328" s="266"/>
      <c r="AB328" s="266"/>
      <c r="AC328" s="266"/>
      <c r="AD328" s="266"/>
      <c r="AE328" s="266"/>
      <c r="AF328" s="266"/>
      <c r="AG328" s="266"/>
      <c r="AH328" s="266"/>
      <c r="AI328" s="266"/>
      <c r="AJ328" s="266"/>
      <c r="AK328" s="266"/>
      <c r="AL328" s="266"/>
      <c r="AM328" s="266"/>
      <c r="AN328" s="266"/>
      <c r="AO328" s="266"/>
    </row>
    <row r="329" spans="1:41" ht="15.75" customHeight="1">
      <c r="A329" s="231" t="s">
        <v>675</v>
      </c>
      <c r="B329" s="260">
        <f>('Pivot Table for Data Exchange'!$M$330)*100</f>
        <v>45.081672575881839</v>
      </c>
      <c r="C329" s="260">
        <f>('Pivot Table for Data Exchange'!$M$333)*100</f>
        <v>4.0327522208446815</v>
      </c>
      <c r="D329" s="261">
        <f t="shared" si="73"/>
        <v>50.885575203273476</v>
      </c>
      <c r="E329" s="260">
        <f>('Pivot Table for Data Exchange'!$M$336)*100</f>
        <v>50.425916694034676</v>
      </c>
      <c r="F329" s="260">
        <f>('Pivot Table for Data Exchange'!$M$339)*100</f>
        <v>0.45965850923880081</v>
      </c>
      <c r="G329" s="267">
        <f>('Pivot Table for Data Exchange'!$M$342)*100</f>
        <v>0</v>
      </c>
      <c r="H329" s="260">
        <f>('Pivot Table for Data Exchange'!$M$345)*100</f>
        <v>0</v>
      </c>
      <c r="I329" s="231"/>
      <c r="J329" s="299"/>
      <c r="K329" s="299"/>
      <c r="L329" s="299"/>
      <c r="M329" s="299"/>
      <c r="N329" s="299"/>
      <c r="O329" s="299"/>
      <c r="P329" s="299"/>
      <c r="Q329" s="265">
        <f t="shared" si="65"/>
        <v>100</v>
      </c>
      <c r="R329" s="265"/>
      <c r="S329" s="266"/>
      <c r="T329" s="266"/>
      <c r="U329" s="266"/>
      <c r="V329" s="266"/>
      <c r="W329" s="266"/>
      <c r="X329" s="266"/>
      <c r="Y329" s="266"/>
      <c r="Z329" s="266"/>
      <c r="AA329" s="266"/>
      <c r="AB329" s="266"/>
      <c r="AC329" s="266"/>
      <c r="AD329" s="266"/>
      <c r="AE329" s="266"/>
      <c r="AF329" s="266"/>
      <c r="AG329" s="266"/>
      <c r="AH329" s="266"/>
      <c r="AI329" s="266"/>
      <c r="AJ329" s="266"/>
      <c r="AK329" s="266"/>
      <c r="AL329" s="266"/>
      <c r="AM329" s="266"/>
      <c r="AN329" s="266"/>
      <c r="AO329" s="266"/>
    </row>
    <row r="330" spans="1:41" ht="15.75" customHeight="1">
      <c r="A330" s="231" t="s">
        <v>676</v>
      </c>
      <c r="B330" s="260">
        <f>('Pivot Table for Data Exchange'!$M$366)*100</f>
        <v>67.721983132948651</v>
      </c>
      <c r="C330" s="260">
        <f>('Pivot Table for Data Exchange'!$M$369)*100</f>
        <v>0.38356137947005808</v>
      </c>
      <c r="D330" s="261">
        <f t="shared" si="73"/>
        <v>31.894455487581293</v>
      </c>
      <c r="E330" s="260">
        <f>('Pivot Table for Data Exchange'!$M$372)*100</f>
        <v>24.768415770886001</v>
      </c>
      <c r="F330" s="260">
        <f>('Pivot Table for Data Exchange'!$M$375)*100</f>
        <v>6.5697550996777112</v>
      </c>
      <c r="G330" s="267">
        <f>('Pivot Table for Data Exchange'!$M$378)*100</f>
        <v>0.55628461701758103</v>
      </c>
      <c r="H330" s="260">
        <f>('Pivot Table for Data Exchange'!$M$381)*100</f>
        <v>0</v>
      </c>
      <c r="I330" s="231"/>
      <c r="J330" s="299"/>
      <c r="K330" s="299"/>
      <c r="L330" s="299"/>
      <c r="M330" s="299"/>
      <c r="N330" s="299"/>
      <c r="O330" s="299"/>
      <c r="P330" s="299"/>
      <c r="Q330" s="265">
        <f t="shared" si="65"/>
        <v>100</v>
      </c>
      <c r="R330" s="265"/>
      <c r="S330" s="266"/>
      <c r="T330" s="240"/>
      <c r="U330" s="266"/>
      <c r="V330" s="266"/>
      <c r="W330" s="266"/>
      <c r="X330" s="266"/>
      <c r="Y330" s="266"/>
      <c r="Z330" s="266"/>
      <c r="AA330" s="266"/>
      <c r="AB330" s="266"/>
      <c r="AC330" s="266"/>
      <c r="AD330" s="266"/>
      <c r="AE330" s="266"/>
      <c r="AF330" s="266"/>
      <c r="AG330" s="266"/>
      <c r="AH330" s="266"/>
      <c r="AI330" s="266"/>
      <c r="AJ330" s="266"/>
      <c r="AK330" s="266"/>
      <c r="AL330" s="266"/>
      <c r="AM330" s="266"/>
      <c r="AN330" s="266"/>
      <c r="AO330" s="266"/>
    </row>
    <row r="331" spans="1:41" ht="15.75" customHeight="1">
      <c r="A331" s="231" t="s">
        <v>677</v>
      </c>
      <c r="B331" s="260">
        <f>('Pivot Table for Data Exchange'!$M$402)*100</f>
        <v>58.819017627560768</v>
      </c>
      <c r="C331" s="260">
        <f>('Pivot Table for Data Exchange'!$M$405)*100</f>
        <v>7.1998634936832033</v>
      </c>
      <c r="D331" s="261">
        <f>SUM(E331:G331)</f>
        <v>33.981118878756043</v>
      </c>
      <c r="E331" s="260">
        <f>('Pivot Table for Data Exchange'!$M$408)*100</f>
        <v>32.229850958078373</v>
      </c>
      <c r="F331" s="260">
        <f>('Pivot Table for Data Exchange'!$M$411)*100</f>
        <v>1.7512679206776662</v>
      </c>
      <c r="G331" s="271">
        <f>('Pivot Table for Data Exchange'!$M$414)*100</f>
        <v>0</v>
      </c>
      <c r="H331" s="260">
        <f>('Pivot Table for Data Exchange'!$M$417)*100</f>
        <v>0</v>
      </c>
      <c r="I331" s="231"/>
      <c r="J331" s="299"/>
      <c r="K331" s="299"/>
      <c r="L331" s="299"/>
      <c r="M331" s="299"/>
      <c r="N331" s="299"/>
      <c r="O331" s="299"/>
      <c r="P331" s="299"/>
      <c r="Q331" s="265">
        <f t="shared" ref="Q331:Q395" si="74">SUM(B331,C331,D331,H331)</f>
        <v>100</v>
      </c>
      <c r="R331" s="265"/>
      <c r="S331" s="266"/>
      <c r="T331" s="266"/>
      <c r="U331" s="266"/>
      <c r="V331" s="266"/>
      <c r="W331" s="266"/>
      <c r="X331" s="266"/>
      <c r="Y331" s="266"/>
      <c r="Z331" s="266"/>
      <c r="AA331" s="266"/>
      <c r="AB331" s="266"/>
      <c r="AC331" s="266"/>
      <c r="AD331" s="266"/>
      <c r="AE331" s="266"/>
      <c r="AF331" s="266"/>
      <c r="AG331" s="266"/>
      <c r="AH331" s="266"/>
      <c r="AI331" s="266"/>
      <c r="AJ331" s="266"/>
      <c r="AK331" s="266"/>
      <c r="AL331" s="266"/>
      <c r="AM331" s="266"/>
      <c r="AN331" s="266"/>
      <c r="AO331" s="266"/>
    </row>
    <row r="332" spans="1:41" ht="12.75" customHeight="1">
      <c r="B332" s="260"/>
      <c r="C332" s="260"/>
      <c r="D332" s="261"/>
      <c r="E332" s="260"/>
      <c r="F332" s="260"/>
      <c r="G332" s="268"/>
      <c r="H332" s="260"/>
      <c r="I332" s="231"/>
      <c r="J332" s="299"/>
      <c r="K332" s="299"/>
      <c r="L332" s="299"/>
      <c r="M332" s="299"/>
      <c r="N332" s="299"/>
      <c r="O332" s="299"/>
      <c r="P332" s="299"/>
      <c r="Q332" s="265">
        <f t="shared" si="74"/>
        <v>0</v>
      </c>
      <c r="R332" s="265"/>
      <c r="S332" s="266"/>
      <c r="T332" s="266"/>
      <c r="U332" s="266"/>
      <c r="V332" s="266"/>
      <c r="W332" s="266"/>
      <c r="X332" s="266"/>
      <c r="Y332" s="266"/>
      <c r="Z332" s="266"/>
      <c r="AA332" s="266"/>
      <c r="AB332" s="266"/>
      <c r="AC332" s="266"/>
      <c r="AD332" s="266"/>
      <c r="AE332" s="266"/>
      <c r="AF332" s="266"/>
      <c r="AG332" s="266"/>
      <c r="AH332" s="266"/>
      <c r="AI332" s="266"/>
      <c r="AJ332" s="266"/>
      <c r="AK332" s="266"/>
      <c r="AL332" s="266"/>
      <c r="AM332" s="266"/>
      <c r="AN332" s="266"/>
      <c r="AO332" s="266"/>
    </row>
    <row r="333" spans="1:41" ht="15.75" customHeight="1">
      <c r="A333" s="231" t="s">
        <v>678</v>
      </c>
      <c r="B333" s="260">
        <f>('Pivot Table for Data Exchange'!$M$438)*100</f>
        <v>34.105216066806562</v>
      </c>
      <c r="C333" s="260">
        <f>('Pivot Table for Data Exchange'!$M$441)*100</f>
        <v>35.682445171117244</v>
      </c>
      <c r="D333" s="261">
        <f>SUM(E333:G333)</f>
        <v>30.019412460189812</v>
      </c>
      <c r="E333" s="260">
        <f>('Pivot Table for Data Exchange'!$M$444)*100</f>
        <v>21.001272860901334</v>
      </c>
      <c r="F333" s="260">
        <f>('Pivot Table for Data Exchange'!$M$447)*100</f>
        <v>3.0856225301705313</v>
      </c>
      <c r="G333" s="268">
        <f>('Pivot Table for Data Exchange'!$M$450)*100</f>
        <v>5.9325170691179441</v>
      </c>
      <c r="H333" s="260">
        <f>('Pivot Table for Data Exchange'!$M$453)*100</f>
        <v>0.19292630188639051</v>
      </c>
      <c r="I333" s="231"/>
      <c r="J333" s="299"/>
      <c r="K333" s="299"/>
      <c r="L333" s="299"/>
      <c r="M333" s="299"/>
      <c r="N333" s="299"/>
      <c r="O333" s="299"/>
      <c r="P333" s="299"/>
      <c r="Q333" s="265">
        <f t="shared" si="74"/>
        <v>100</v>
      </c>
      <c r="R333" s="265"/>
      <c r="S333" s="266"/>
      <c r="T333" s="266"/>
      <c r="U333" s="266"/>
      <c r="V333" s="266"/>
      <c r="W333" s="266"/>
      <c r="X333" s="266"/>
      <c r="Y333" s="266"/>
      <c r="Z333" s="266"/>
      <c r="AA333" s="266"/>
      <c r="AB333" s="266"/>
      <c r="AC333" s="266"/>
      <c r="AD333" s="266"/>
      <c r="AE333" s="266"/>
      <c r="AF333" s="266"/>
      <c r="AG333" s="266"/>
      <c r="AH333" s="266"/>
      <c r="AI333" s="266"/>
      <c r="AJ333" s="266"/>
      <c r="AK333" s="266"/>
      <c r="AL333" s="266"/>
      <c r="AM333" s="266"/>
      <c r="AN333" s="266"/>
      <c r="AO333" s="266"/>
    </row>
    <row r="334" spans="1:41" ht="15.75" customHeight="1">
      <c r="A334" s="231" t="s">
        <v>679</v>
      </c>
      <c r="B334" s="260">
        <f>('Pivot Table for Data Exchange'!$M$474)*100</f>
        <v>0</v>
      </c>
      <c r="C334" s="260">
        <f>('Pivot Table for Data Exchange'!$M$477)*100</f>
        <v>0</v>
      </c>
      <c r="D334" s="261">
        <f>SUM(E334:G334)</f>
        <v>0</v>
      </c>
      <c r="E334" s="260">
        <f>('Pivot Table for Data Exchange'!$M$480)*100</f>
        <v>0</v>
      </c>
      <c r="F334" s="260">
        <f>('Pivot Table for Data Exchange'!$M$483)*100</f>
        <v>0</v>
      </c>
      <c r="G334" s="268">
        <f>('Pivot Table for Data Exchange'!$M$486)*100</f>
        <v>0</v>
      </c>
      <c r="H334" s="260">
        <f>('Pivot Table for Data Exchange'!$M$489)*100</f>
        <v>0</v>
      </c>
      <c r="I334" s="231"/>
      <c r="J334" s="299"/>
      <c r="K334" s="299"/>
      <c r="L334" s="299"/>
      <c r="M334" s="299"/>
      <c r="N334" s="299"/>
      <c r="O334" s="299"/>
      <c r="P334" s="299"/>
      <c r="Q334" s="265">
        <f t="shared" si="74"/>
        <v>0</v>
      </c>
      <c r="R334" s="265"/>
      <c r="S334" s="266"/>
      <c r="T334" s="266"/>
      <c r="U334" s="266"/>
      <c r="V334" s="266"/>
      <c r="W334" s="266"/>
      <c r="X334" s="266"/>
      <c r="Y334" s="266"/>
      <c r="Z334" s="266"/>
      <c r="AA334" s="266"/>
      <c r="AB334" s="266"/>
      <c r="AC334" s="266"/>
      <c r="AD334" s="266"/>
      <c r="AE334" s="266"/>
      <c r="AF334" s="266"/>
      <c r="AG334" s="266"/>
      <c r="AH334" s="266"/>
      <c r="AI334" s="266"/>
      <c r="AJ334" s="266"/>
      <c r="AK334" s="266"/>
      <c r="AL334" s="266"/>
      <c r="AM334" s="266"/>
      <c r="AN334" s="266"/>
      <c r="AO334" s="266"/>
    </row>
    <row r="335" spans="1:41" ht="15.75" customHeight="1">
      <c r="A335" s="231" t="s">
        <v>680</v>
      </c>
      <c r="B335" s="260">
        <f>('Pivot Table for Data Exchange'!$M$510)*100</f>
        <v>42.5639779677443</v>
      </c>
      <c r="C335" s="260">
        <f>('Pivot Table for Data Exchange'!$M$513)*100</f>
        <v>24.478987102606354</v>
      </c>
      <c r="D335" s="261">
        <f t="shared" ref="D335" si="75">SUM(E335:G335)</f>
        <v>32.957034929649346</v>
      </c>
      <c r="E335" s="260">
        <f>('Pivot Table for Data Exchange'!$M$516)*100</f>
        <v>27.712429656132848</v>
      </c>
      <c r="F335" s="260">
        <f>('Pivot Table for Data Exchange'!$M$519)*100</f>
        <v>5.244605273516501</v>
      </c>
      <c r="G335" s="268">
        <f>('Pivot Table for Data Exchange'!$M$522)*100</f>
        <v>0</v>
      </c>
      <c r="H335" s="260">
        <f>('Pivot Table for Data Exchange'!$M$525)*100</f>
        <v>0</v>
      </c>
      <c r="I335" s="231"/>
      <c r="J335" s="299"/>
      <c r="K335" s="299"/>
      <c r="L335" s="299"/>
      <c r="M335" s="299"/>
      <c r="N335" s="299"/>
      <c r="O335" s="299"/>
      <c r="P335" s="299"/>
      <c r="Q335" s="265">
        <f t="shared" si="74"/>
        <v>100</v>
      </c>
      <c r="R335" s="265"/>
      <c r="S335" s="266"/>
      <c r="T335" s="266"/>
      <c r="U335" s="266"/>
      <c r="V335" s="266"/>
      <c r="W335" s="266"/>
      <c r="X335" s="266"/>
      <c r="Y335" s="266"/>
      <c r="Z335" s="266"/>
      <c r="AA335" s="266"/>
      <c r="AB335" s="266"/>
      <c r="AC335" s="266"/>
      <c r="AD335" s="266"/>
      <c r="AE335" s="266"/>
      <c r="AF335" s="266"/>
      <c r="AG335" s="266"/>
      <c r="AH335" s="266"/>
      <c r="AI335" s="266"/>
      <c r="AJ335" s="266"/>
      <c r="AK335" s="266"/>
      <c r="AL335" s="266"/>
      <c r="AM335" s="266"/>
      <c r="AN335" s="266"/>
      <c r="AO335" s="266"/>
    </row>
    <row r="336" spans="1:41" ht="15.75" customHeight="1">
      <c r="A336" s="237" t="s">
        <v>681</v>
      </c>
      <c r="B336" s="273">
        <f>('Pivot Table for Data Exchange'!$M$546)*100</f>
        <v>62.13601123252549</v>
      </c>
      <c r="C336" s="273">
        <f>('Pivot Table for Data Exchange'!$M$549)*100</f>
        <v>14.373359379769246</v>
      </c>
      <c r="D336" s="274">
        <f>SUM(E336:G336)</f>
        <v>23.490629387705269</v>
      </c>
      <c r="E336" s="273">
        <f>('Pivot Table for Data Exchange'!$M$552)*100</f>
        <v>23.490629387705269</v>
      </c>
      <c r="F336" s="273">
        <f>('Pivot Table for Data Exchange'!$M$555)*100</f>
        <v>0</v>
      </c>
      <c r="G336" s="296">
        <f>('Pivot Table for Data Exchange'!$M$558)*100</f>
        <v>0</v>
      </c>
      <c r="H336" s="273">
        <f>('Pivot Table for Data Exchange'!$M$561)*100</f>
        <v>0</v>
      </c>
      <c r="I336" s="231"/>
      <c r="J336" s="299"/>
      <c r="K336" s="299"/>
      <c r="L336" s="299"/>
      <c r="M336" s="299"/>
      <c r="N336" s="299"/>
      <c r="O336" s="299"/>
      <c r="P336" s="299"/>
      <c r="Q336" s="265">
        <f t="shared" si="74"/>
        <v>100</v>
      </c>
      <c r="R336" s="265"/>
      <c r="S336" s="266"/>
      <c r="T336" s="266"/>
      <c r="U336" s="266"/>
      <c r="V336" s="266"/>
      <c r="W336" s="266"/>
      <c r="X336" s="266"/>
      <c r="Y336" s="266"/>
      <c r="Z336" s="266"/>
      <c r="AA336" s="266"/>
      <c r="AB336" s="266"/>
      <c r="AC336" s="266"/>
      <c r="AD336" s="266"/>
      <c r="AE336" s="266"/>
      <c r="AF336" s="266"/>
      <c r="AG336" s="266"/>
      <c r="AH336" s="266"/>
      <c r="AI336" s="266"/>
      <c r="AJ336" s="266"/>
      <c r="AK336" s="266"/>
      <c r="AL336" s="266"/>
      <c r="AM336" s="266"/>
      <c r="AN336" s="266"/>
      <c r="AO336" s="266"/>
    </row>
    <row r="337" spans="1:41" s="278" customFormat="1" ht="12" customHeight="1">
      <c r="A337" s="279" t="s">
        <v>706</v>
      </c>
      <c r="B337" s="280"/>
      <c r="C337" s="280"/>
      <c r="D337" s="281"/>
      <c r="E337" s="280"/>
      <c r="F337" s="281"/>
      <c r="G337" s="281"/>
      <c r="H337" s="280"/>
      <c r="I337" s="289"/>
      <c r="J337" s="280"/>
      <c r="K337" s="280"/>
      <c r="L337" s="281"/>
      <c r="M337" s="280"/>
      <c r="N337" s="281"/>
      <c r="O337" s="281"/>
      <c r="P337" s="280"/>
      <c r="Q337" s="265">
        <f t="shared" si="74"/>
        <v>0</v>
      </c>
      <c r="R337" s="300"/>
      <c r="S337" s="282"/>
      <c r="T337" s="282"/>
      <c r="U337" s="282"/>
      <c r="V337" s="282"/>
      <c r="W337" s="282"/>
      <c r="X337" s="282"/>
      <c r="Y337" s="282"/>
      <c r="Z337" s="282"/>
      <c r="AA337" s="282"/>
      <c r="AB337" s="282"/>
      <c r="AC337" s="282"/>
      <c r="AD337" s="282"/>
      <c r="AE337" s="282"/>
      <c r="AF337" s="282"/>
      <c r="AG337" s="282"/>
      <c r="AH337" s="282"/>
      <c r="AI337" s="282"/>
      <c r="AJ337" s="282"/>
      <c r="AK337" s="282"/>
      <c r="AL337" s="282"/>
      <c r="AM337" s="282"/>
      <c r="AN337" s="282"/>
      <c r="AO337" s="282"/>
    </row>
    <row r="338" spans="1:41" s="278" customFormat="1" ht="22.5" customHeight="1">
      <c r="A338" s="490" t="s">
        <v>721</v>
      </c>
      <c r="B338" s="503"/>
      <c r="C338" s="503"/>
      <c r="D338" s="503"/>
      <c r="E338" s="503"/>
      <c r="F338" s="503"/>
      <c r="G338" s="503"/>
      <c r="H338" s="503"/>
      <c r="I338" s="289"/>
      <c r="P338" s="291"/>
      <c r="Q338" s="265">
        <f t="shared" si="74"/>
        <v>0</v>
      </c>
      <c r="R338" s="301"/>
    </row>
    <row r="339" spans="1:41" s="278" customFormat="1" ht="13.5" customHeight="1">
      <c r="A339" s="277"/>
      <c r="B339" s="307"/>
      <c r="C339" s="307"/>
      <c r="D339" s="307"/>
      <c r="E339" s="307"/>
      <c r="F339" s="307"/>
      <c r="G339" s="307"/>
      <c r="H339" s="307"/>
      <c r="I339" s="289"/>
      <c r="P339" s="291"/>
      <c r="Q339" s="265"/>
      <c r="R339" s="301"/>
    </row>
    <row r="340" spans="1:41" s="278" customFormat="1">
      <c r="H340" s="284" t="s">
        <v>839</v>
      </c>
      <c r="Q340" s="265">
        <f t="shared" si="74"/>
        <v>0</v>
      </c>
      <c r="R340" s="304"/>
    </row>
    <row r="341" spans="1:41" ht="18">
      <c r="A341" s="226" t="s">
        <v>726</v>
      </c>
      <c r="B341" s="227"/>
      <c r="C341" s="227"/>
      <c r="D341" s="227"/>
      <c r="E341" s="227"/>
      <c r="F341" s="227"/>
      <c r="G341" s="227"/>
      <c r="H341" s="227"/>
      <c r="L341" s="227"/>
      <c r="Q341" s="265">
        <f t="shared" si="74"/>
        <v>0</v>
      </c>
    </row>
    <row r="342" spans="1:41" ht="13">
      <c r="A342" s="232"/>
      <c r="B342" s="228"/>
      <c r="C342" s="228"/>
      <c r="D342" s="228"/>
      <c r="E342" s="228"/>
      <c r="F342" s="228"/>
      <c r="G342" s="228"/>
      <c r="H342" s="228"/>
      <c r="Q342" s="265">
        <f t="shared" si="74"/>
        <v>0</v>
      </c>
    </row>
    <row r="343" spans="1:41" ht="15.5">
      <c r="A343" s="234" t="s">
        <v>687</v>
      </c>
      <c r="B343" s="228"/>
      <c r="C343" s="228"/>
      <c r="D343" s="228"/>
      <c r="E343" s="228"/>
      <c r="F343" s="228"/>
      <c r="G343" s="228"/>
      <c r="H343" s="228"/>
      <c r="L343" s="228"/>
      <c r="Q343" s="265">
        <f t="shared" si="74"/>
        <v>0</v>
      </c>
    </row>
    <row r="344" spans="1:41" ht="15.5">
      <c r="A344" s="234" t="s">
        <v>775</v>
      </c>
      <c r="B344" s="228"/>
      <c r="C344" s="228"/>
      <c r="D344" s="228"/>
      <c r="E344" s="228"/>
      <c r="F344" s="228"/>
      <c r="G344" s="228"/>
      <c r="H344" s="228"/>
      <c r="Q344" s="265">
        <f t="shared" si="74"/>
        <v>0</v>
      </c>
    </row>
    <row r="345" spans="1:41">
      <c r="A345" s="237"/>
      <c r="B345" s="238"/>
      <c r="C345" s="238"/>
      <c r="D345" s="238"/>
      <c r="E345" s="238"/>
      <c r="F345" s="238"/>
      <c r="G345" s="238"/>
      <c r="H345" s="238"/>
      <c r="Q345" s="265">
        <f t="shared" si="74"/>
        <v>0</v>
      </c>
    </row>
    <row r="346" spans="1:41">
      <c r="A346" s="242"/>
      <c r="B346" s="243" t="s">
        <v>689</v>
      </c>
      <c r="C346" s="243"/>
      <c r="D346" s="243"/>
      <c r="E346" s="243"/>
      <c r="F346" s="243"/>
      <c r="G346" s="243"/>
      <c r="H346" s="244"/>
      <c r="Q346" s="265">
        <f t="shared" si="74"/>
        <v>0</v>
      </c>
    </row>
    <row r="347" spans="1:41">
      <c r="A347" s="242"/>
      <c r="B347" s="243" t="s">
        <v>690</v>
      </c>
      <c r="C347" s="243"/>
      <c r="D347" s="485" t="s">
        <v>691</v>
      </c>
      <c r="E347" s="483"/>
      <c r="F347" s="483"/>
      <c r="G347" s="483"/>
      <c r="H347" s="250" t="s">
        <v>581</v>
      </c>
      <c r="Q347" s="265">
        <f t="shared" si="74"/>
        <v>0</v>
      </c>
    </row>
    <row r="348" spans="1:41" ht="34.5">
      <c r="A348" s="242"/>
      <c r="B348" s="251" t="s">
        <v>692</v>
      </c>
      <c r="C348" s="252" t="s">
        <v>693</v>
      </c>
      <c r="D348" s="253" t="s">
        <v>694</v>
      </c>
      <c r="E348" s="254" t="s">
        <v>8</v>
      </c>
      <c r="F348" s="251" t="s">
        <v>695</v>
      </c>
      <c r="G348" s="255" t="s">
        <v>704</v>
      </c>
      <c r="H348" s="256" t="s">
        <v>697</v>
      </c>
      <c r="Q348" s="265">
        <f t="shared" si="74"/>
        <v>0</v>
      </c>
    </row>
    <row r="349" spans="1:41" ht="15.75" customHeight="1">
      <c r="A349" s="286" t="s">
        <v>666</v>
      </c>
      <c r="B349" s="260">
        <f>('Pivot Table for Data Exchange'!$N$6)*100</f>
        <v>62.011479846808456</v>
      </c>
      <c r="C349" s="260">
        <f>('Pivot Table for Data Exchange'!$N$9)*100</f>
        <v>2.1278013459787219</v>
      </c>
      <c r="D349" s="261">
        <f>SUM(E349:G349)</f>
        <v>35.86071880721282</v>
      </c>
      <c r="E349" s="260">
        <f>('Pivot Table for Data Exchange'!$N$12)*100</f>
        <v>35.86071880721282</v>
      </c>
      <c r="F349" s="260">
        <f>('Pivot Table for Data Exchange'!$N$15)*100</f>
        <v>0</v>
      </c>
      <c r="G349" s="264">
        <f>('Pivot Table for Data Exchange'!$N$18)*100</f>
        <v>0</v>
      </c>
      <c r="H349" s="260">
        <f>('Pivot Table for Data Exchange'!$N$21)*100</f>
        <v>0</v>
      </c>
      <c r="I349" s="231"/>
      <c r="J349" s="299"/>
      <c r="K349" s="299"/>
      <c r="L349" s="299"/>
      <c r="M349" s="299"/>
      <c r="N349" s="299"/>
      <c r="O349" s="299"/>
      <c r="P349" s="299"/>
      <c r="Q349" s="265">
        <f t="shared" si="74"/>
        <v>100</v>
      </c>
      <c r="R349" s="265"/>
      <c r="S349" s="266"/>
      <c r="T349" s="266"/>
      <c r="U349" s="266"/>
      <c r="V349" s="266"/>
      <c r="W349" s="266"/>
      <c r="X349" s="266"/>
      <c r="Y349" s="266"/>
      <c r="Z349" s="266"/>
      <c r="AA349" s="266"/>
      <c r="AB349" s="266"/>
      <c r="AC349" s="266"/>
      <c r="AD349" s="266"/>
      <c r="AE349" s="266"/>
      <c r="AF349" s="266"/>
      <c r="AG349" s="266"/>
      <c r="AH349" s="266"/>
      <c r="AI349" s="266"/>
      <c r="AJ349" s="266"/>
      <c r="AK349" s="266"/>
      <c r="AL349" s="266"/>
      <c r="AM349" s="266"/>
      <c r="AN349" s="266"/>
      <c r="AO349" s="266"/>
    </row>
    <row r="350" spans="1:41" ht="15.75" customHeight="1">
      <c r="A350" s="231" t="s">
        <v>667</v>
      </c>
      <c r="B350" s="260">
        <f>('Pivot Table for Data Exchange'!$N$42)*100</f>
        <v>60.894290292766286</v>
      </c>
      <c r="C350" s="260">
        <f>('Pivot Table for Data Exchange'!$N$45)*100</f>
        <v>13.056292513614331</v>
      </c>
      <c r="D350" s="261">
        <f t="shared" ref="D350:D352" si="76">SUM(E350:G350)</f>
        <v>25.820018218933061</v>
      </c>
      <c r="E350" s="260">
        <f>('Pivot Table for Data Exchange'!$N$48)*100</f>
        <v>24.135764297540444</v>
      </c>
      <c r="F350" s="260">
        <f>('Pivot Table for Data Exchange'!$N$51)*100</f>
        <v>1.684253921392618</v>
      </c>
      <c r="G350" s="267">
        <f>('Pivot Table for Data Exchange'!$N$54)*100</f>
        <v>0</v>
      </c>
      <c r="H350" s="272">
        <f>('Pivot Table for Data Exchange'!$N$57)*100</f>
        <v>0.22939897468632181</v>
      </c>
      <c r="I350" s="231"/>
      <c r="J350" s="299"/>
      <c r="K350" s="299"/>
      <c r="L350" s="299"/>
      <c r="M350" s="299"/>
      <c r="N350" s="299"/>
      <c r="O350" s="299"/>
      <c r="P350" s="299"/>
      <c r="Q350" s="265">
        <f t="shared" si="74"/>
        <v>100</v>
      </c>
      <c r="R350" s="265"/>
      <c r="S350" s="266"/>
      <c r="T350" s="266"/>
      <c r="U350" s="266"/>
      <c r="V350" s="266"/>
      <c r="W350" s="266"/>
      <c r="X350" s="266"/>
      <c r="Y350" s="266"/>
      <c r="Z350" s="266"/>
      <c r="AA350" s="266"/>
      <c r="AB350" s="266"/>
      <c r="AC350" s="266"/>
      <c r="AD350" s="266"/>
      <c r="AE350" s="266"/>
      <c r="AF350" s="266"/>
      <c r="AG350" s="266"/>
      <c r="AH350" s="266"/>
      <c r="AI350" s="266"/>
      <c r="AJ350" s="266"/>
      <c r="AK350" s="266"/>
      <c r="AL350" s="266"/>
      <c r="AM350" s="266"/>
      <c r="AN350" s="266"/>
      <c r="AO350" s="266"/>
    </row>
    <row r="351" spans="1:41" ht="15.75" customHeight="1">
      <c r="A351" s="231" t="s">
        <v>668</v>
      </c>
      <c r="B351" s="260">
        <f>('Pivot Table for Data Exchange'!$N$78)*100</f>
        <v>0</v>
      </c>
      <c r="C351" s="260">
        <f>('Pivot Table for Data Exchange'!$N$81)*100</f>
        <v>0</v>
      </c>
      <c r="D351" s="261">
        <f t="shared" si="76"/>
        <v>0</v>
      </c>
      <c r="E351" s="260">
        <f>('Pivot Table for Data Exchange'!$N$84)*100</f>
        <v>0</v>
      </c>
      <c r="F351" s="260">
        <f>('Pivot Table for Data Exchange'!$N$87)*100</f>
        <v>0</v>
      </c>
      <c r="G351" s="268">
        <f>('Pivot Table for Data Exchange'!$N$90)*100</f>
        <v>0</v>
      </c>
      <c r="H351" s="260">
        <f>('Pivot Table for Data Exchange'!$N$93)*100</f>
        <v>0</v>
      </c>
      <c r="I351" s="231"/>
      <c r="J351" s="299"/>
      <c r="K351" s="299"/>
      <c r="L351" s="299"/>
      <c r="M351" s="299"/>
      <c r="N351" s="299"/>
      <c r="O351" s="299"/>
      <c r="P351" s="299"/>
      <c r="Q351" s="265">
        <f t="shared" si="74"/>
        <v>0</v>
      </c>
      <c r="R351" s="265"/>
      <c r="S351" s="266"/>
      <c r="T351" s="240"/>
      <c r="U351" s="266"/>
      <c r="V351" s="266"/>
      <c r="W351" s="266"/>
      <c r="X351" s="266"/>
      <c r="Y351" s="266"/>
      <c r="Z351" s="266"/>
      <c r="AA351" s="266"/>
      <c r="AB351" s="266"/>
      <c r="AC351" s="266"/>
      <c r="AD351" s="266"/>
      <c r="AE351" s="266"/>
      <c r="AF351" s="266"/>
      <c r="AG351" s="266"/>
      <c r="AH351" s="266"/>
      <c r="AI351" s="266"/>
      <c r="AJ351" s="266"/>
      <c r="AK351" s="266"/>
      <c r="AL351" s="266"/>
      <c r="AM351" s="266"/>
      <c r="AN351" s="266"/>
      <c r="AO351" s="266"/>
    </row>
    <row r="352" spans="1:41" ht="15.75" customHeight="1">
      <c r="A352" s="231" t="s">
        <v>705</v>
      </c>
      <c r="B352" s="260">
        <f>('Pivot Table for Data Exchange'!$N$114)*100</f>
        <v>63.510321696820824</v>
      </c>
      <c r="C352" s="260">
        <f>('Pivot Table for Data Exchange'!$N$117)*100</f>
        <v>2.9170012754499504</v>
      </c>
      <c r="D352" s="261">
        <f t="shared" si="76"/>
        <v>33.572677027729227</v>
      </c>
      <c r="E352" s="260">
        <f>('Pivot Table for Data Exchange'!$N$120)*100</f>
        <v>33.381359535169352</v>
      </c>
      <c r="F352" s="260">
        <f>('Pivot Table for Data Exchange'!$N$123)*100</f>
        <v>0</v>
      </c>
      <c r="G352" s="268">
        <f>('Pivot Table for Data Exchange'!$N$126)*100</f>
        <v>0.19131749255987529</v>
      </c>
      <c r="H352" s="260">
        <f>('Pivot Table for Data Exchange'!$N$129)*100</f>
        <v>0</v>
      </c>
      <c r="I352" s="231"/>
      <c r="J352" s="299"/>
      <c r="K352" s="299"/>
      <c r="L352" s="299"/>
      <c r="M352" s="299"/>
      <c r="N352" s="299"/>
      <c r="O352" s="299"/>
      <c r="P352" s="299"/>
      <c r="Q352" s="265">
        <f t="shared" si="74"/>
        <v>100</v>
      </c>
      <c r="R352" s="265"/>
      <c r="S352" s="266"/>
      <c r="U352" s="266"/>
      <c r="V352" s="266"/>
      <c r="W352" s="266"/>
      <c r="X352" s="266"/>
      <c r="Y352" s="266"/>
      <c r="Z352" s="266"/>
      <c r="AA352" s="266"/>
      <c r="AB352" s="266"/>
      <c r="AC352" s="266"/>
      <c r="AD352" s="266"/>
      <c r="AE352" s="266"/>
      <c r="AF352" s="266"/>
      <c r="AG352" s="266"/>
      <c r="AH352" s="266"/>
      <c r="AI352" s="266"/>
      <c r="AJ352" s="266"/>
      <c r="AK352" s="266"/>
      <c r="AL352" s="266"/>
      <c r="AM352" s="266"/>
      <c r="AN352" s="266"/>
      <c r="AO352" s="266"/>
    </row>
    <row r="353" spans="1:41" ht="15.75" customHeight="1">
      <c r="B353" s="260"/>
      <c r="C353" s="260"/>
      <c r="D353" s="261"/>
      <c r="E353" s="260"/>
      <c r="F353" s="260"/>
      <c r="G353" s="268"/>
      <c r="H353" s="260"/>
      <c r="I353" s="231"/>
      <c r="J353" s="299"/>
      <c r="K353" s="299"/>
      <c r="L353" s="299"/>
      <c r="M353" s="299"/>
      <c r="N353" s="299"/>
      <c r="O353" s="299"/>
      <c r="P353" s="299"/>
      <c r="Q353" s="265">
        <f t="shared" si="74"/>
        <v>0</v>
      </c>
      <c r="R353" s="265"/>
      <c r="S353" s="266"/>
      <c r="U353" s="266"/>
      <c r="V353" s="266"/>
      <c r="W353" s="266"/>
      <c r="X353" s="266"/>
      <c r="Y353" s="266"/>
      <c r="Z353" s="266"/>
      <c r="AA353" s="266"/>
      <c r="AB353" s="266"/>
      <c r="AC353" s="266"/>
      <c r="AD353" s="266"/>
      <c r="AE353" s="266"/>
      <c r="AF353" s="266"/>
      <c r="AG353" s="266"/>
      <c r="AH353" s="266"/>
      <c r="AI353" s="266"/>
      <c r="AJ353" s="266"/>
      <c r="AK353" s="266"/>
      <c r="AL353" s="266"/>
      <c r="AM353" s="266"/>
      <c r="AN353" s="266"/>
      <c r="AO353" s="266"/>
    </row>
    <row r="354" spans="1:41" ht="15.75" customHeight="1">
      <c r="A354" s="231" t="s">
        <v>670</v>
      </c>
      <c r="B354" s="260">
        <f>('Pivot Table for Data Exchange'!$N$150)*100</f>
        <v>0</v>
      </c>
      <c r="C354" s="260">
        <f>('Pivot Table for Data Exchange'!$N$153)*100</f>
        <v>0</v>
      </c>
      <c r="D354" s="261">
        <f t="shared" ref="D354:D357" si="77">SUM(E354:G354)</f>
        <v>0</v>
      </c>
      <c r="E354" s="260">
        <f>('Pivot Table for Data Exchange'!$N$156)*100</f>
        <v>0</v>
      </c>
      <c r="F354" s="260">
        <f>('Pivot Table for Data Exchange'!$N$159)*100</f>
        <v>0</v>
      </c>
      <c r="G354" s="268">
        <f>('Pivot Table for Data Exchange'!$N$162)*100</f>
        <v>0</v>
      </c>
      <c r="H354" s="260">
        <f>('Pivot Table for Data Exchange'!$N$165)*100</f>
        <v>0</v>
      </c>
      <c r="I354" s="231"/>
      <c r="J354" s="299"/>
      <c r="K354" s="299"/>
      <c r="L354" s="299"/>
      <c r="M354" s="299"/>
      <c r="N354" s="299"/>
      <c r="O354" s="299"/>
      <c r="P354" s="299"/>
      <c r="Q354" s="265">
        <f t="shared" si="74"/>
        <v>0</v>
      </c>
      <c r="R354" s="265"/>
      <c r="S354" s="266"/>
      <c r="T354" s="266"/>
      <c r="U354" s="266"/>
      <c r="V354" s="266"/>
      <c r="W354" s="266"/>
      <c r="X354" s="266"/>
      <c r="Y354" s="266"/>
      <c r="Z354" s="266"/>
      <c r="AA354" s="266"/>
      <c r="AB354" s="266"/>
      <c r="AC354" s="266"/>
      <c r="AD354" s="266"/>
      <c r="AE354" s="266"/>
      <c r="AF354" s="266"/>
      <c r="AG354" s="266"/>
      <c r="AH354" s="266"/>
      <c r="AI354" s="266"/>
      <c r="AJ354" s="266"/>
      <c r="AK354" s="266"/>
      <c r="AL354" s="266"/>
      <c r="AM354" s="266"/>
      <c r="AN354" s="266"/>
      <c r="AO354" s="266"/>
    </row>
    <row r="355" spans="1:41" ht="15.75" customHeight="1">
      <c r="A355" s="231" t="s">
        <v>671</v>
      </c>
      <c r="B355" s="260">
        <f>('Pivot Table for Data Exchange'!$N$186)*100</f>
        <v>47.525548679682892</v>
      </c>
      <c r="C355" s="260">
        <f>('Pivot Table for Data Exchange'!$N$189)*100</f>
        <v>5.4072430204907143</v>
      </c>
      <c r="D355" s="261">
        <f t="shared" si="77"/>
        <v>47.067208299826397</v>
      </c>
      <c r="E355" s="260">
        <f>('Pivot Table for Data Exchange'!$N$192)*100</f>
        <v>47.067208299826397</v>
      </c>
      <c r="F355" s="260">
        <f>('Pivot Table for Data Exchange'!$N$195)*100</f>
        <v>0</v>
      </c>
      <c r="G355" s="268">
        <f>('Pivot Table for Data Exchange'!$N$198)*100</f>
        <v>0</v>
      </c>
      <c r="H355" s="260">
        <f>('Pivot Table for Data Exchange'!$N$201)*100</f>
        <v>0</v>
      </c>
      <c r="I355" s="231"/>
      <c r="J355" s="299"/>
      <c r="K355" s="299"/>
      <c r="L355" s="299"/>
      <c r="M355" s="299"/>
      <c r="N355" s="299"/>
      <c r="O355" s="299"/>
      <c r="P355" s="299"/>
      <c r="Q355" s="265">
        <f t="shared" si="74"/>
        <v>100</v>
      </c>
      <c r="R355" s="265"/>
      <c r="S355" s="266"/>
      <c r="T355" s="266"/>
      <c r="U355" s="266"/>
      <c r="V355" s="266"/>
      <c r="W355" s="266"/>
      <c r="X355" s="266"/>
      <c r="Y355" s="266"/>
      <c r="Z355" s="266"/>
      <c r="AA355" s="266"/>
      <c r="AB355" s="266"/>
      <c r="AC355" s="266"/>
      <c r="AD355" s="266"/>
      <c r="AE355" s="266"/>
      <c r="AF355" s="266"/>
      <c r="AG355" s="266"/>
      <c r="AH355" s="266"/>
      <c r="AI355" s="266"/>
      <c r="AJ355" s="266"/>
      <c r="AK355" s="266"/>
      <c r="AL355" s="266"/>
      <c r="AM355" s="266"/>
      <c r="AN355" s="266"/>
      <c r="AO355" s="266"/>
    </row>
    <row r="356" spans="1:41" ht="15.75" customHeight="1">
      <c r="A356" s="231" t="s">
        <v>672</v>
      </c>
      <c r="B356" s="260">
        <f>('Pivot Table for Data Exchange'!$N$222)*100</f>
        <v>73.416646713265351</v>
      </c>
      <c r="C356" s="260">
        <f>('Pivot Table for Data Exchange'!$N$225)*100</f>
        <v>0</v>
      </c>
      <c r="D356" s="261">
        <f t="shared" si="77"/>
        <v>26.583353286734653</v>
      </c>
      <c r="E356" s="260">
        <f>('Pivot Table for Data Exchange'!$N$228)*100</f>
        <v>26.583353286734653</v>
      </c>
      <c r="F356" s="260">
        <f>('Pivot Table for Data Exchange'!$N$231)*100</f>
        <v>0</v>
      </c>
      <c r="G356" s="268">
        <f>('Pivot Table for Data Exchange'!$N$234)*100</f>
        <v>0</v>
      </c>
      <c r="H356" s="260">
        <f>('Pivot Table for Data Exchange'!$N$237)*100</f>
        <v>0</v>
      </c>
      <c r="I356" s="231"/>
      <c r="J356" s="299"/>
      <c r="K356" s="299"/>
      <c r="L356" s="299"/>
      <c r="M356" s="299"/>
      <c r="N356" s="299"/>
      <c r="O356" s="299"/>
      <c r="P356" s="299"/>
      <c r="Q356" s="265">
        <f t="shared" si="74"/>
        <v>100</v>
      </c>
      <c r="R356" s="265"/>
      <c r="S356" s="266"/>
      <c r="T356" s="240"/>
      <c r="U356" s="266"/>
      <c r="V356" s="266"/>
      <c r="W356" s="266"/>
      <c r="X356" s="266"/>
      <c r="Y356" s="266"/>
      <c r="Z356" s="266"/>
      <c r="AA356" s="266"/>
      <c r="AB356" s="266"/>
      <c r="AC356" s="266"/>
      <c r="AD356" s="266"/>
      <c r="AE356" s="266"/>
      <c r="AF356" s="266"/>
      <c r="AG356" s="266"/>
      <c r="AH356" s="266"/>
      <c r="AI356" s="266"/>
      <c r="AJ356" s="266"/>
      <c r="AK356" s="266"/>
      <c r="AL356" s="266"/>
      <c r="AM356" s="266"/>
      <c r="AN356" s="266"/>
      <c r="AO356" s="266"/>
    </row>
    <row r="357" spans="1:41" ht="15.75" customHeight="1">
      <c r="A357" s="231" t="s">
        <v>673</v>
      </c>
      <c r="B357" s="260">
        <f>('Pivot Table for Data Exchange'!$N$258)*100</f>
        <v>66.046477992944105</v>
      </c>
      <c r="C357" s="260">
        <f>('Pivot Table for Data Exchange'!$N$261)*100</f>
        <v>9.2682221315412949</v>
      </c>
      <c r="D357" s="261">
        <f t="shared" si="77"/>
        <v>24.685299875514602</v>
      </c>
      <c r="E357" s="260">
        <f>('Pivot Table for Data Exchange'!$N$264)*100</f>
        <v>23.696131654932671</v>
      </c>
      <c r="F357" s="260">
        <f>('Pivot Table for Data Exchange'!$N$267)*100</f>
        <v>0.98916822058193055</v>
      </c>
      <c r="G357" s="268">
        <f>('Pivot Table for Data Exchange'!$N$270)*100</f>
        <v>0</v>
      </c>
      <c r="H357" s="260">
        <f>('Pivot Table for Data Exchange'!$N$273)*100</f>
        <v>0</v>
      </c>
      <c r="I357" s="231"/>
      <c r="J357" s="299"/>
      <c r="K357" s="299"/>
      <c r="L357" s="299"/>
      <c r="M357" s="299"/>
      <c r="N357" s="299"/>
      <c r="O357" s="299"/>
      <c r="P357" s="299"/>
      <c r="Q357" s="265">
        <f t="shared" si="74"/>
        <v>100</v>
      </c>
      <c r="R357" s="265"/>
      <c r="S357" s="266"/>
      <c r="U357" s="266"/>
      <c r="V357" s="266"/>
      <c r="W357" s="266"/>
      <c r="X357" s="266"/>
      <c r="Y357" s="266"/>
      <c r="Z357" s="266"/>
      <c r="AA357" s="266"/>
      <c r="AB357" s="266"/>
      <c r="AC357" s="266"/>
      <c r="AD357" s="266"/>
      <c r="AE357" s="266"/>
      <c r="AF357" s="266"/>
      <c r="AG357" s="266"/>
      <c r="AH357" s="266"/>
      <c r="AI357" s="266"/>
      <c r="AJ357" s="266"/>
      <c r="AK357" s="266"/>
      <c r="AL357" s="266"/>
      <c r="AM357" s="266"/>
      <c r="AN357" s="266"/>
      <c r="AO357" s="266"/>
    </row>
    <row r="358" spans="1:41" ht="12.75" customHeight="1">
      <c r="B358" s="260"/>
      <c r="C358" s="260"/>
      <c r="D358" s="261"/>
      <c r="E358" s="260"/>
      <c r="F358" s="260"/>
      <c r="G358" s="268"/>
      <c r="H358" s="260"/>
      <c r="I358" s="231"/>
      <c r="J358" s="299"/>
      <c r="K358" s="299"/>
      <c r="L358" s="299"/>
      <c r="M358" s="299"/>
      <c r="N358" s="299"/>
      <c r="O358" s="299"/>
      <c r="P358" s="299"/>
      <c r="Q358" s="265">
        <f t="shared" si="74"/>
        <v>0</v>
      </c>
      <c r="R358" s="265"/>
      <c r="S358" s="266"/>
      <c r="U358" s="266"/>
      <c r="V358" s="266"/>
      <c r="W358" s="266"/>
      <c r="X358" s="266"/>
      <c r="Y358" s="266"/>
      <c r="Z358" s="266"/>
      <c r="AA358" s="266"/>
      <c r="AB358" s="266"/>
      <c r="AC358" s="266"/>
      <c r="AD358" s="266"/>
      <c r="AE358" s="266"/>
      <c r="AF358" s="266"/>
      <c r="AG358" s="266"/>
      <c r="AH358" s="266"/>
      <c r="AI358" s="266"/>
      <c r="AJ358" s="266"/>
      <c r="AK358" s="266"/>
      <c r="AL358" s="266"/>
      <c r="AM358" s="266"/>
      <c r="AN358" s="266"/>
      <c r="AO358" s="266"/>
    </row>
    <row r="359" spans="1:41" ht="15.75" customHeight="1">
      <c r="A359" s="231" t="s">
        <v>720</v>
      </c>
      <c r="B359" s="260">
        <f>('Pivot Table for Data Exchange'!$N$294)*100</f>
        <v>75.163609461843421</v>
      </c>
      <c r="C359" s="260">
        <f>('Pivot Table for Data Exchange'!$N$297)*100</f>
        <v>0.36041504637972571</v>
      </c>
      <c r="D359" s="261">
        <f t="shared" ref="D359:D361" si="78">SUM(E359:G359)</f>
        <v>24.475975491776847</v>
      </c>
      <c r="E359" s="260">
        <f>('Pivot Table for Data Exchange'!$N$300)*100</f>
        <v>24.475975491776847</v>
      </c>
      <c r="F359" s="260">
        <f>('Pivot Table for Data Exchange'!$N$303)*100</f>
        <v>0</v>
      </c>
      <c r="G359" s="268">
        <f>('Pivot Table for Data Exchange'!$N$306)*100</f>
        <v>0</v>
      </c>
      <c r="H359" s="260">
        <f>('Pivot Table for Data Exchange'!$N$309)*100</f>
        <v>0</v>
      </c>
      <c r="I359" s="306"/>
      <c r="J359" s="299"/>
      <c r="K359" s="299"/>
      <c r="L359" s="299"/>
      <c r="M359" s="299"/>
      <c r="N359" s="299"/>
      <c r="O359" s="299"/>
      <c r="P359" s="299"/>
      <c r="Q359" s="265">
        <f t="shared" si="74"/>
        <v>100</v>
      </c>
      <c r="R359" s="265"/>
      <c r="S359" s="266"/>
      <c r="T359" s="266"/>
      <c r="U359" s="266"/>
      <c r="V359" s="266"/>
      <c r="W359" s="266"/>
      <c r="X359" s="266"/>
      <c r="Y359" s="266"/>
      <c r="Z359" s="266"/>
      <c r="AA359" s="266"/>
      <c r="AB359" s="266"/>
      <c r="AC359" s="266"/>
      <c r="AD359" s="266"/>
      <c r="AE359" s="266"/>
      <c r="AF359" s="266"/>
      <c r="AG359" s="266"/>
      <c r="AH359" s="266"/>
      <c r="AI359" s="266"/>
      <c r="AJ359" s="266"/>
      <c r="AK359" s="266"/>
      <c r="AL359" s="266"/>
      <c r="AM359" s="266"/>
      <c r="AN359" s="266"/>
      <c r="AO359" s="266"/>
    </row>
    <row r="360" spans="1:41" ht="15.75" customHeight="1">
      <c r="A360" s="231" t="s">
        <v>675</v>
      </c>
      <c r="B360" s="260">
        <f>('Pivot Table for Data Exchange'!$N$330)*100</f>
        <v>42.964421309869721</v>
      </c>
      <c r="C360" s="260">
        <f>('Pivot Table for Data Exchange'!$N$333)*100</f>
        <v>4.5267913007301805</v>
      </c>
      <c r="D360" s="261">
        <f t="shared" si="78"/>
        <v>52.508787389400098</v>
      </c>
      <c r="E360" s="260">
        <f>('Pivot Table for Data Exchange'!$N$336)*100</f>
        <v>51.828726983263827</v>
      </c>
      <c r="F360" s="260">
        <f>('Pivot Table for Data Exchange'!$N$339)*100</f>
        <v>0.60144070600490718</v>
      </c>
      <c r="G360" s="268">
        <f>('Pivot Table for Data Exchange'!$N$342)*100</f>
        <v>7.8619700131360409E-2</v>
      </c>
      <c r="H360" s="260">
        <f>('Pivot Table for Data Exchange'!$N$345)*100</f>
        <v>0</v>
      </c>
      <c r="I360" s="231"/>
      <c r="J360" s="299"/>
      <c r="K360" s="299"/>
      <c r="L360" s="299"/>
      <c r="M360" s="299"/>
      <c r="N360" s="299"/>
      <c r="O360" s="299"/>
      <c r="P360" s="299"/>
      <c r="Q360" s="265">
        <f t="shared" si="74"/>
        <v>100</v>
      </c>
      <c r="R360" s="265"/>
      <c r="S360" s="266"/>
      <c r="T360" s="266"/>
      <c r="U360" s="266"/>
      <c r="V360" s="266"/>
      <c r="W360" s="266"/>
      <c r="X360" s="266"/>
      <c r="Y360" s="266"/>
      <c r="Z360" s="266"/>
      <c r="AA360" s="266"/>
      <c r="AB360" s="266"/>
      <c r="AC360" s="266"/>
      <c r="AD360" s="266"/>
      <c r="AE360" s="266"/>
      <c r="AF360" s="266"/>
      <c r="AG360" s="266"/>
      <c r="AH360" s="266"/>
      <c r="AI360" s="266"/>
      <c r="AJ360" s="266"/>
      <c r="AK360" s="266"/>
      <c r="AL360" s="266"/>
      <c r="AM360" s="266"/>
      <c r="AN360" s="266"/>
      <c r="AO360" s="266"/>
    </row>
    <row r="361" spans="1:41" ht="15.75" customHeight="1">
      <c r="A361" s="231" t="s">
        <v>676</v>
      </c>
      <c r="B361" s="260">
        <f>('Pivot Table for Data Exchange'!$N$366)*100</f>
        <v>65.245664514640737</v>
      </c>
      <c r="C361" s="260">
        <f>('Pivot Table for Data Exchange'!$N$369)*100</f>
        <v>3.0042115698151086</v>
      </c>
      <c r="D361" s="261">
        <f t="shared" si="78"/>
        <v>31.750123915544155</v>
      </c>
      <c r="E361" s="260">
        <f>('Pivot Table for Data Exchange'!$N$372)*100</f>
        <v>27.681018009059084</v>
      </c>
      <c r="F361" s="260">
        <f>('Pivot Table for Data Exchange'!$N$375)*100</f>
        <v>4.0691059064850696</v>
      </c>
      <c r="G361" s="268">
        <f>('Pivot Table for Data Exchange'!$N$378)*100</f>
        <v>0</v>
      </c>
      <c r="H361" s="260">
        <f>('Pivot Table for Data Exchange'!$N$381)*100</f>
        <v>0</v>
      </c>
      <c r="I361" s="231"/>
      <c r="J361" s="299"/>
      <c r="K361" s="299"/>
      <c r="L361" s="299"/>
      <c r="M361" s="299"/>
      <c r="N361" s="299"/>
      <c r="O361" s="299"/>
      <c r="P361" s="299"/>
      <c r="Q361" s="265">
        <f t="shared" si="74"/>
        <v>100</v>
      </c>
      <c r="R361" s="265"/>
      <c r="S361" s="266"/>
      <c r="T361" s="240"/>
      <c r="U361" s="266"/>
      <c r="V361" s="266"/>
      <c r="W361" s="266"/>
      <c r="X361" s="266"/>
      <c r="Y361" s="266"/>
      <c r="Z361" s="266"/>
      <c r="AA361" s="266"/>
      <c r="AB361" s="266"/>
      <c r="AC361" s="266"/>
      <c r="AD361" s="266"/>
      <c r="AE361" s="266"/>
      <c r="AF361" s="266"/>
      <c r="AG361" s="266"/>
      <c r="AH361" s="266"/>
      <c r="AI361" s="266"/>
      <c r="AJ361" s="266"/>
      <c r="AK361" s="266"/>
      <c r="AL361" s="266"/>
      <c r="AM361" s="266"/>
      <c r="AN361" s="266"/>
      <c r="AO361" s="266"/>
    </row>
    <row r="362" spans="1:41" ht="15.75" customHeight="1">
      <c r="A362" s="231" t="s">
        <v>677</v>
      </c>
      <c r="B362" s="260">
        <f>('Pivot Table for Data Exchange'!$N$402)*100</f>
        <v>61.757075994286701</v>
      </c>
      <c r="C362" s="260">
        <f>('Pivot Table for Data Exchange'!$N$405)*100</f>
        <v>13.247952111975076</v>
      </c>
      <c r="D362" s="261">
        <f>SUM(E362:G362)</f>
        <v>24.994971893738217</v>
      </c>
      <c r="E362" s="260">
        <f>('Pivot Table for Data Exchange'!$N$408)*100</f>
        <v>23.587443028999388</v>
      </c>
      <c r="F362" s="260">
        <f>('Pivot Table for Data Exchange'!$N$411)*100</f>
        <v>1.4075288647388282</v>
      </c>
      <c r="G362" s="268">
        <f>('Pivot Table for Data Exchange'!$N$414)*100</f>
        <v>0</v>
      </c>
      <c r="H362" s="260">
        <f>('Pivot Table for Data Exchange'!$N$417)*100</f>
        <v>0</v>
      </c>
      <c r="I362" s="231"/>
      <c r="J362" s="299"/>
      <c r="K362" s="299"/>
      <c r="L362" s="299"/>
      <c r="M362" s="299"/>
      <c r="N362" s="299"/>
      <c r="O362" s="299"/>
      <c r="P362" s="299"/>
      <c r="Q362" s="265">
        <f t="shared" si="74"/>
        <v>100</v>
      </c>
      <c r="R362" s="265"/>
      <c r="S362" s="266"/>
      <c r="T362" s="266"/>
      <c r="U362" s="266"/>
      <c r="V362" s="266"/>
      <c r="W362" s="266"/>
      <c r="X362" s="266"/>
      <c r="Y362" s="266"/>
      <c r="Z362" s="266"/>
      <c r="AA362" s="266"/>
      <c r="AB362" s="266"/>
      <c r="AC362" s="266"/>
      <c r="AD362" s="266"/>
      <c r="AE362" s="266"/>
      <c r="AF362" s="266"/>
      <c r="AG362" s="266"/>
      <c r="AH362" s="266"/>
      <c r="AI362" s="266"/>
      <c r="AJ362" s="266"/>
      <c r="AK362" s="266"/>
      <c r="AL362" s="266"/>
      <c r="AM362" s="266"/>
      <c r="AN362" s="266"/>
      <c r="AO362" s="266"/>
    </row>
    <row r="363" spans="1:41" ht="12" customHeight="1">
      <c r="B363" s="260"/>
      <c r="C363" s="260"/>
      <c r="D363" s="261"/>
      <c r="E363" s="260"/>
      <c r="F363" s="260"/>
      <c r="G363" s="268"/>
      <c r="H363" s="260"/>
      <c r="I363" s="231"/>
      <c r="J363" s="299"/>
      <c r="K363" s="299"/>
      <c r="L363" s="299"/>
      <c r="M363" s="299"/>
      <c r="N363" s="299"/>
      <c r="O363" s="299"/>
      <c r="P363" s="299"/>
      <c r="Q363" s="265">
        <f t="shared" si="74"/>
        <v>0</v>
      </c>
      <c r="R363" s="265"/>
      <c r="S363" s="266"/>
      <c r="T363" s="266"/>
      <c r="U363" s="266"/>
      <c r="V363" s="266"/>
      <c r="W363" s="266"/>
      <c r="X363" s="266"/>
      <c r="Y363" s="266"/>
      <c r="Z363" s="266"/>
      <c r="AA363" s="266"/>
      <c r="AB363" s="266"/>
      <c r="AC363" s="266"/>
      <c r="AD363" s="266"/>
      <c r="AE363" s="266"/>
      <c r="AF363" s="266"/>
      <c r="AG363" s="266"/>
      <c r="AH363" s="266"/>
      <c r="AI363" s="266"/>
      <c r="AJ363" s="266"/>
      <c r="AK363" s="266"/>
      <c r="AL363" s="266"/>
      <c r="AM363" s="266"/>
      <c r="AN363" s="266"/>
      <c r="AO363" s="266"/>
    </row>
    <row r="364" spans="1:41" ht="15.75" customHeight="1">
      <c r="A364" s="231" t="s">
        <v>678</v>
      </c>
      <c r="B364" s="260">
        <f>('Pivot Table for Data Exchange'!$N$438)*100</f>
        <v>29.43698477968546</v>
      </c>
      <c r="C364" s="260">
        <f>('Pivot Table for Data Exchange'!$N$441)*100</f>
        <v>39.426656013096093</v>
      </c>
      <c r="D364" s="261">
        <f>SUM(E364:G364)</f>
        <v>30.61797205386549</v>
      </c>
      <c r="E364" s="260">
        <f>('Pivot Table for Data Exchange'!$N$444)*100</f>
        <v>23.04289361370413</v>
      </c>
      <c r="F364" s="260">
        <f>('Pivot Table for Data Exchange'!$N$447)*100</f>
        <v>5.6632822091867556</v>
      </c>
      <c r="G364" s="268">
        <f>('Pivot Table for Data Exchange'!$N$450)*100</f>
        <v>1.9117962309746068</v>
      </c>
      <c r="H364" s="260">
        <f>('Pivot Table for Data Exchange'!$N$453)*100</f>
        <v>0.51838715335295149</v>
      </c>
      <c r="I364" s="231"/>
      <c r="J364" s="299"/>
      <c r="K364" s="299"/>
      <c r="L364" s="299"/>
      <c r="M364" s="299"/>
      <c r="N364" s="299"/>
      <c r="O364" s="299"/>
      <c r="P364" s="299"/>
      <c r="Q364" s="265">
        <f t="shared" si="74"/>
        <v>99.999999999999986</v>
      </c>
      <c r="R364" s="265"/>
      <c r="S364" s="266"/>
      <c r="T364" s="266"/>
      <c r="U364" s="266"/>
      <c r="V364" s="266"/>
      <c r="W364" s="266"/>
      <c r="X364" s="266"/>
      <c r="Y364" s="266"/>
      <c r="Z364" s="266"/>
      <c r="AA364" s="266"/>
      <c r="AB364" s="266"/>
      <c r="AC364" s="266"/>
      <c r="AD364" s="266"/>
      <c r="AE364" s="266"/>
      <c r="AF364" s="266"/>
      <c r="AG364" s="266"/>
      <c r="AH364" s="266"/>
      <c r="AI364" s="266"/>
      <c r="AJ364" s="266"/>
      <c r="AK364" s="266"/>
      <c r="AL364" s="266"/>
      <c r="AM364" s="266"/>
      <c r="AN364" s="266"/>
      <c r="AO364" s="266"/>
    </row>
    <row r="365" spans="1:41" ht="15.75" customHeight="1">
      <c r="A365" s="231" t="s">
        <v>679</v>
      </c>
      <c r="B365" s="260">
        <f>('Pivot Table for Data Exchange'!$N$474)*100</f>
        <v>0</v>
      </c>
      <c r="C365" s="260">
        <f>('Pivot Table for Data Exchange'!$N$477)*100</f>
        <v>0</v>
      </c>
      <c r="D365" s="261">
        <f>SUM(E365:G365)</f>
        <v>0</v>
      </c>
      <c r="E365" s="260">
        <f>('Pivot Table for Data Exchange'!$N$480)*100</f>
        <v>0</v>
      </c>
      <c r="F365" s="260">
        <f>('Pivot Table for Data Exchange'!$N$483)*100</f>
        <v>0</v>
      </c>
      <c r="G365" s="268">
        <f>('Pivot Table for Data Exchange'!$N$486)*100</f>
        <v>0</v>
      </c>
      <c r="H365" s="260">
        <f>('Pivot Table for Data Exchange'!$N$489)*100</f>
        <v>0</v>
      </c>
      <c r="I365" s="231"/>
      <c r="J365" s="299"/>
      <c r="K365" s="299"/>
      <c r="L365" s="299"/>
      <c r="M365" s="299"/>
      <c r="N365" s="299"/>
      <c r="O365" s="299"/>
      <c r="P365" s="299"/>
      <c r="Q365" s="265">
        <f t="shared" si="74"/>
        <v>0</v>
      </c>
      <c r="R365" s="265"/>
      <c r="S365" s="266"/>
      <c r="T365" s="266"/>
      <c r="U365" s="266"/>
      <c r="V365" s="266"/>
      <c r="W365" s="266"/>
      <c r="X365" s="266"/>
      <c r="Y365" s="266"/>
      <c r="Z365" s="266"/>
      <c r="AA365" s="266"/>
      <c r="AB365" s="266"/>
      <c r="AC365" s="266"/>
      <c r="AD365" s="266"/>
      <c r="AE365" s="266"/>
      <c r="AF365" s="266"/>
      <c r="AG365" s="266"/>
      <c r="AH365" s="266"/>
      <c r="AI365" s="266"/>
      <c r="AJ365" s="266"/>
      <c r="AK365" s="266"/>
      <c r="AL365" s="266"/>
      <c r="AM365" s="266"/>
      <c r="AN365" s="266"/>
      <c r="AO365" s="266"/>
    </row>
    <row r="366" spans="1:41" ht="15.75" customHeight="1">
      <c r="A366" s="231" t="s">
        <v>680</v>
      </c>
      <c r="B366" s="260">
        <f>('Pivot Table for Data Exchange'!$N$510)*100</f>
        <v>36.359979034097179</v>
      </c>
      <c r="C366" s="260">
        <f>('Pivot Table for Data Exchange'!$N$513)*100</f>
        <v>25.065288557030936</v>
      </c>
      <c r="D366" s="261">
        <f t="shared" ref="D366" si="79">SUM(E366:G366)</f>
        <v>38.574732408871888</v>
      </c>
      <c r="E366" s="260">
        <f>('Pivot Table for Data Exchange'!$N$516)*100</f>
        <v>31.742882627726487</v>
      </c>
      <c r="F366" s="260">
        <f>('Pivot Table for Data Exchange'!$N$519)*100</f>
        <v>6.8318497811454009</v>
      </c>
      <c r="G366" s="268">
        <f>('Pivot Table for Data Exchange'!$N$522)*100</f>
        <v>0</v>
      </c>
      <c r="H366" s="260">
        <f>('Pivot Table for Data Exchange'!$N$525)*100</f>
        <v>0</v>
      </c>
      <c r="I366" s="231"/>
      <c r="J366" s="299"/>
      <c r="K366" s="299"/>
      <c r="L366" s="299"/>
      <c r="M366" s="299"/>
      <c r="N366" s="299"/>
      <c r="O366" s="299"/>
      <c r="P366" s="299"/>
      <c r="Q366" s="265">
        <f t="shared" si="74"/>
        <v>100</v>
      </c>
      <c r="R366" s="265"/>
      <c r="S366" s="266"/>
      <c r="T366" s="266"/>
      <c r="U366" s="266"/>
      <c r="V366" s="266"/>
      <c r="W366" s="266"/>
      <c r="X366" s="266"/>
      <c r="Y366" s="266"/>
      <c r="Z366" s="266"/>
      <c r="AA366" s="266"/>
      <c r="AB366" s="266"/>
      <c r="AC366" s="266"/>
      <c r="AD366" s="266"/>
      <c r="AE366" s="266"/>
      <c r="AF366" s="266"/>
      <c r="AG366" s="266"/>
      <c r="AH366" s="266"/>
      <c r="AI366" s="266"/>
      <c r="AJ366" s="266"/>
      <c r="AK366" s="266"/>
      <c r="AL366" s="266"/>
      <c r="AM366" s="266"/>
      <c r="AN366" s="266"/>
      <c r="AO366" s="266"/>
    </row>
    <row r="367" spans="1:41" ht="15.75" customHeight="1">
      <c r="A367" s="237" t="s">
        <v>681</v>
      </c>
      <c r="B367" s="273">
        <f>('Pivot Table for Data Exchange'!$N$546)*100</f>
        <v>54.620465849532351</v>
      </c>
      <c r="C367" s="273">
        <f>('Pivot Table for Data Exchange'!$N$549)*100</f>
        <v>12.283289618645044</v>
      </c>
      <c r="D367" s="274">
        <f>SUM(E367:G367)</f>
        <v>33.096244531822599</v>
      </c>
      <c r="E367" s="273">
        <f>('Pivot Table for Data Exchange'!$N$552)*100</f>
        <v>31.058325689024922</v>
      </c>
      <c r="F367" s="273">
        <f>('Pivot Table for Data Exchange'!$N$555)*100</f>
        <v>2.0379188427976787</v>
      </c>
      <c r="G367" s="275">
        <f>('Pivot Table for Data Exchange'!$N$558)*100</f>
        <v>0</v>
      </c>
      <c r="H367" s="273">
        <f>('Pivot Table for Data Exchange'!$N$561)*100</f>
        <v>0</v>
      </c>
      <c r="I367" s="231"/>
      <c r="J367" s="299"/>
      <c r="K367" s="299"/>
      <c r="L367" s="299"/>
      <c r="M367" s="299"/>
      <c r="N367" s="299"/>
      <c r="O367" s="299"/>
      <c r="P367" s="299"/>
      <c r="Q367" s="265">
        <f t="shared" si="74"/>
        <v>100</v>
      </c>
      <c r="R367" s="265"/>
      <c r="S367" s="266"/>
      <c r="T367" s="266"/>
      <c r="U367" s="266"/>
      <c r="V367" s="266"/>
      <c r="W367" s="266"/>
      <c r="X367" s="266"/>
      <c r="Y367" s="266"/>
      <c r="Z367" s="266"/>
      <c r="AA367" s="266"/>
      <c r="AB367" s="266"/>
      <c r="AC367" s="266"/>
      <c r="AD367" s="266"/>
      <c r="AE367" s="266"/>
      <c r="AF367" s="266"/>
      <c r="AG367" s="266"/>
      <c r="AH367" s="266"/>
      <c r="AI367" s="266"/>
      <c r="AJ367" s="266"/>
      <c r="AK367" s="266"/>
      <c r="AL367" s="266"/>
      <c r="AM367" s="266"/>
      <c r="AN367" s="266"/>
      <c r="AO367" s="266"/>
    </row>
    <row r="368" spans="1:41" s="278" customFormat="1" ht="11.25" customHeight="1">
      <c r="A368" s="279" t="s">
        <v>706</v>
      </c>
      <c r="B368" s="280"/>
      <c r="C368" s="280"/>
      <c r="D368" s="281"/>
      <c r="E368" s="280"/>
      <c r="F368" s="281"/>
      <c r="G368" s="281"/>
      <c r="H368" s="280"/>
      <c r="I368" s="289"/>
      <c r="J368" s="280"/>
      <c r="K368" s="280"/>
      <c r="L368" s="281"/>
      <c r="M368" s="280"/>
      <c r="N368" s="281"/>
      <c r="O368" s="281"/>
      <c r="P368" s="280"/>
      <c r="Q368" s="265">
        <f t="shared" si="74"/>
        <v>0</v>
      </c>
      <c r="R368" s="300"/>
      <c r="S368" s="282"/>
      <c r="T368" s="282"/>
      <c r="U368" s="282"/>
      <c r="V368" s="282"/>
      <c r="W368" s="282"/>
      <c r="X368" s="282"/>
      <c r="Y368" s="282"/>
      <c r="Z368" s="282"/>
      <c r="AA368" s="282"/>
      <c r="AB368" s="282"/>
      <c r="AC368" s="282"/>
      <c r="AD368" s="282"/>
      <c r="AE368" s="282"/>
      <c r="AF368" s="282"/>
      <c r="AG368" s="282"/>
      <c r="AH368" s="282"/>
      <c r="AI368" s="282"/>
      <c r="AJ368" s="282"/>
      <c r="AK368" s="282"/>
      <c r="AL368" s="282"/>
      <c r="AM368" s="282"/>
      <c r="AN368" s="282"/>
      <c r="AO368" s="282"/>
    </row>
    <row r="369" spans="1:41" s="278" customFormat="1" ht="24" customHeight="1">
      <c r="A369" s="490" t="s">
        <v>721</v>
      </c>
      <c r="B369" s="503"/>
      <c r="C369" s="503"/>
      <c r="D369" s="503"/>
      <c r="E369" s="503"/>
      <c r="F369" s="503"/>
      <c r="G369" s="503"/>
      <c r="H369" s="503"/>
      <c r="I369" s="289"/>
      <c r="P369" s="291"/>
      <c r="Q369" s="265">
        <f t="shared" si="74"/>
        <v>0</v>
      </c>
      <c r="R369" s="301"/>
    </row>
    <row r="370" spans="1:41" s="278" customFormat="1" ht="13.5" customHeight="1">
      <c r="A370" s="289"/>
      <c r="I370" s="289"/>
      <c r="Q370" s="265">
        <f t="shared" si="74"/>
        <v>0</v>
      </c>
      <c r="R370" s="301"/>
    </row>
    <row r="371" spans="1:41" s="278" customFormat="1">
      <c r="B371" s="280"/>
      <c r="C371" s="280"/>
      <c r="D371" s="281"/>
      <c r="E371" s="280"/>
      <c r="F371" s="281"/>
      <c r="G371" s="281"/>
      <c r="H371" s="284" t="s">
        <v>839</v>
      </c>
      <c r="I371" s="305"/>
      <c r="Q371" s="265">
        <f t="shared" si="74"/>
        <v>0</v>
      </c>
      <c r="R371" s="300"/>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row>
    <row r="372" spans="1:41" ht="18">
      <c r="A372" s="226" t="s">
        <v>727</v>
      </c>
      <c r="B372" s="227"/>
      <c r="C372" s="227"/>
      <c r="D372" s="227"/>
      <c r="E372" s="227"/>
      <c r="F372" s="227"/>
      <c r="G372" s="227"/>
      <c r="H372" s="227"/>
      <c r="Q372" s="265">
        <f t="shared" si="74"/>
        <v>0</v>
      </c>
    </row>
    <row r="373" spans="1:41" ht="13">
      <c r="A373" s="232"/>
      <c r="B373" s="228"/>
      <c r="C373" s="228"/>
      <c r="D373" s="228"/>
      <c r="E373" s="228"/>
      <c r="F373" s="228"/>
      <c r="G373" s="228"/>
      <c r="H373" s="228"/>
      <c r="Q373" s="265">
        <f t="shared" si="74"/>
        <v>0</v>
      </c>
    </row>
    <row r="374" spans="1:41" ht="15.5">
      <c r="A374" s="234" t="s">
        <v>687</v>
      </c>
      <c r="B374" s="228"/>
      <c r="C374" s="228"/>
      <c r="D374" s="228"/>
      <c r="E374" s="228"/>
      <c r="F374" s="228"/>
      <c r="G374" s="228"/>
      <c r="H374" s="228"/>
      <c r="Q374" s="265">
        <f t="shared" si="74"/>
        <v>0</v>
      </c>
    </row>
    <row r="375" spans="1:41" ht="15.5">
      <c r="A375" s="234" t="s">
        <v>776</v>
      </c>
      <c r="B375" s="228"/>
      <c r="C375" s="228"/>
      <c r="D375" s="228"/>
      <c r="E375" s="228"/>
      <c r="F375" s="228"/>
      <c r="G375" s="228"/>
      <c r="H375" s="228"/>
      <c r="Q375" s="265">
        <f t="shared" si="74"/>
        <v>0</v>
      </c>
    </row>
    <row r="376" spans="1:41">
      <c r="A376" s="237"/>
      <c r="B376" s="238"/>
      <c r="C376" s="238"/>
      <c r="D376" s="238"/>
      <c r="E376" s="238"/>
      <c r="F376" s="238"/>
      <c r="G376" s="238"/>
      <c r="H376" s="238"/>
      <c r="Q376" s="265">
        <f t="shared" si="74"/>
        <v>0</v>
      </c>
    </row>
    <row r="377" spans="1:41">
      <c r="A377" s="242"/>
      <c r="B377" s="243" t="s">
        <v>689</v>
      </c>
      <c r="C377" s="243"/>
      <c r="D377" s="243"/>
      <c r="E377" s="243"/>
      <c r="F377" s="243"/>
      <c r="G377" s="243"/>
      <c r="H377" s="244"/>
      <c r="Q377" s="265">
        <f t="shared" si="74"/>
        <v>0</v>
      </c>
    </row>
    <row r="378" spans="1:41">
      <c r="A378" s="242"/>
      <c r="B378" s="243" t="s">
        <v>690</v>
      </c>
      <c r="C378" s="243"/>
      <c r="D378" s="485" t="s">
        <v>691</v>
      </c>
      <c r="E378" s="483"/>
      <c r="F378" s="483"/>
      <c r="G378" s="483"/>
      <c r="H378" s="250" t="s">
        <v>581</v>
      </c>
      <c r="Q378" s="265">
        <f t="shared" si="74"/>
        <v>0</v>
      </c>
    </row>
    <row r="379" spans="1:41" ht="34.5">
      <c r="A379" s="242"/>
      <c r="B379" s="251" t="s">
        <v>692</v>
      </c>
      <c r="C379" s="252" t="s">
        <v>693</v>
      </c>
      <c r="D379" s="253" t="s">
        <v>694</v>
      </c>
      <c r="E379" s="254" t="s">
        <v>8</v>
      </c>
      <c r="F379" s="251" t="s">
        <v>695</v>
      </c>
      <c r="G379" s="255" t="s">
        <v>704</v>
      </c>
      <c r="H379" s="256" t="s">
        <v>697</v>
      </c>
      <c r="Q379" s="265">
        <f t="shared" si="74"/>
        <v>0</v>
      </c>
    </row>
    <row r="380" spans="1:41" ht="15.75" customHeight="1">
      <c r="A380" s="286" t="s">
        <v>666</v>
      </c>
      <c r="B380" s="260">
        <f>('Pivot Table for Data Exchange'!$R$6)*100</f>
        <v>84.341229255113859</v>
      </c>
      <c r="C380" s="260">
        <f>('Pivot Table for Data Exchange'!$R$9)*100</f>
        <v>4.7206676958703202</v>
      </c>
      <c r="D380" s="261">
        <f>SUM(E380:G380)</f>
        <v>10.938103049015824</v>
      </c>
      <c r="E380" s="260">
        <f>('Pivot Table for Data Exchange'!$R$12)*100</f>
        <v>10.938103049015824</v>
      </c>
      <c r="F380" s="260">
        <f>('Pivot Table for Data Exchange'!$R$15)*100</f>
        <v>0</v>
      </c>
      <c r="G380" s="264">
        <f>('Pivot Table for Data Exchange'!$R$18)*100</f>
        <v>0</v>
      </c>
      <c r="H380" s="260">
        <f>('Pivot Table for Data Exchange'!$R$21)*100</f>
        <v>0</v>
      </c>
      <c r="I380" s="231"/>
      <c r="J380" s="299"/>
      <c r="K380" s="299"/>
      <c r="L380" s="299"/>
      <c r="M380" s="299"/>
      <c r="N380" s="299"/>
      <c r="O380" s="299"/>
      <c r="P380" s="299"/>
      <c r="Q380" s="265">
        <f t="shared" si="74"/>
        <v>100</v>
      </c>
      <c r="R380" s="265"/>
      <c r="S380" s="266"/>
      <c r="T380" s="266"/>
      <c r="U380" s="266"/>
      <c r="V380" s="266"/>
      <c r="W380" s="266"/>
      <c r="X380" s="266"/>
      <c r="Y380" s="266"/>
      <c r="Z380" s="266"/>
      <c r="AA380" s="266"/>
      <c r="AB380" s="266"/>
      <c r="AC380" s="266"/>
      <c r="AD380" s="266"/>
      <c r="AE380" s="266"/>
      <c r="AF380" s="266"/>
      <c r="AG380" s="266"/>
      <c r="AH380" s="266"/>
      <c r="AI380" s="266"/>
      <c r="AJ380" s="266"/>
      <c r="AK380" s="266"/>
      <c r="AL380" s="266"/>
      <c r="AM380" s="266"/>
      <c r="AN380" s="266"/>
      <c r="AO380" s="266"/>
    </row>
    <row r="381" spans="1:41" ht="15.75" customHeight="1">
      <c r="A381" s="231" t="s">
        <v>667</v>
      </c>
      <c r="B381" s="260">
        <f>('Pivot Table for Data Exchange'!$R$42)*100</f>
        <v>0</v>
      </c>
      <c r="C381" s="260">
        <f>('Pivot Table for Data Exchange'!$R$45)*100</f>
        <v>0</v>
      </c>
      <c r="D381" s="261">
        <f t="shared" ref="D381:D383" si="80">SUM(E381:G381)</f>
        <v>0</v>
      </c>
      <c r="E381" s="260">
        <f>('Pivot Table for Data Exchange'!$R$48)*100</f>
        <v>0</v>
      </c>
      <c r="F381" s="260">
        <f>('Pivot Table for Data Exchange'!$R$51)*100</f>
        <v>0</v>
      </c>
      <c r="G381" s="268">
        <f>('Pivot Table for Data Exchange'!$R$54)*100</f>
        <v>0</v>
      </c>
      <c r="H381" s="260">
        <f>('Pivot Table for Data Exchange'!$R$57)*100</f>
        <v>0</v>
      </c>
      <c r="I381" s="231"/>
      <c r="J381" s="299"/>
      <c r="K381" s="299"/>
      <c r="L381" s="299"/>
      <c r="M381" s="299"/>
      <c r="N381" s="299"/>
      <c r="O381" s="299"/>
      <c r="P381" s="299"/>
      <c r="Q381" s="265">
        <f t="shared" si="74"/>
        <v>0</v>
      </c>
      <c r="R381" s="265"/>
      <c r="S381" s="266"/>
      <c r="T381" s="266"/>
      <c r="U381" s="266"/>
      <c r="V381" s="266"/>
      <c r="W381" s="266"/>
      <c r="X381" s="266"/>
      <c r="Y381" s="266"/>
      <c r="Z381" s="266"/>
      <c r="AA381" s="266"/>
      <c r="AB381" s="266"/>
      <c r="AC381" s="266"/>
      <c r="AD381" s="266"/>
      <c r="AE381" s="266"/>
      <c r="AF381" s="266"/>
      <c r="AG381" s="266"/>
      <c r="AH381" s="266"/>
      <c r="AI381" s="266"/>
      <c r="AJ381" s="266"/>
      <c r="AK381" s="266"/>
      <c r="AL381" s="266"/>
      <c r="AM381" s="266"/>
      <c r="AN381" s="266"/>
      <c r="AO381" s="266"/>
    </row>
    <row r="382" spans="1:41" ht="15.75" customHeight="1">
      <c r="A382" s="231" t="s">
        <v>668</v>
      </c>
      <c r="B382" s="260">
        <f>('Pivot Table for Data Exchange'!$R$78)*100</f>
        <v>0</v>
      </c>
      <c r="C382" s="260">
        <f>('Pivot Table for Data Exchange'!$R$81)*100</f>
        <v>0</v>
      </c>
      <c r="D382" s="261">
        <f t="shared" si="80"/>
        <v>0</v>
      </c>
      <c r="E382" s="260">
        <f>('Pivot Table for Data Exchange'!$R$84)*100</f>
        <v>0</v>
      </c>
      <c r="F382" s="260">
        <f>('Pivot Table for Data Exchange'!$R$87)*100</f>
        <v>0</v>
      </c>
      <c r="G382" s="268">
        <f>('Pivot Table for Data Exchange'!$R$90)*100</f>
        <v>0</v>
      </c>
      <c r="H382" s="260">
        <f>('Pivot Table for Data Exchange'!$R$93)*100</f>
        <v>0</v>
      </c>
      <c r="I382" s="231"/>
      <c r="J382" s="299"/>
      <c r="K382" s="299"/>
      <c r="L382" s="299"/>
      <c r="M382" s="299"/>
      <c r="N382" s="299"/>
      <c r="O382" s="299"/>
      <c r="P382" s="299"/>
      <c r="Q382" s="265">
        <f t="shared" si="74"/>
        <v>0</v>
      </c>
      <c r="R382" s="265"/>
      <c r="S382" s="266"/>
      <c r="T382" s="240"/>
      <c r="U382" s="266"/>
      <c r="V382" s="266"/>
      <c r="W382" s="266"/>
      <c r="X382" s="266"/>
      <c r="Y382" s="266"/>
      <c r="Z382" s="266"/>
      <c r="AA382" s="266"/>
      <c r="AB382" s="266"/>
      <c r="AC382" s="266"/>
      <c r="AD382" s="266"/>
      <c r="AE382" s="266"/>
      <c r="AF382" s="266"/>
      <c r="AG382" s="266"/>
      <c r="AH382" s="266"/>
      <c r="AI382" s="266"/>
      <c r="AJ382" s="266"/>
      <c r="AK382" s="266"/>
      <c r="AL382" s="266"/>
      <c r="AM382" s="266"/>
      <c r="AN382" s="266"/>
      <c r="AO382" s="266"/>
    </row>
    <row r="383" spans="1:41" ht="15.75" customHeight="1">
      <c r="A383" s="231" t="s">
        <v>669</v>
      </c>
      <c r="B383" s="260">
        <f>('Pivot Table for Data Exchange'!$R$114)*100</f>
        <v>0</v>
      </c>
      <c r="C383" s="260">
        <f>('Pivot Table for Data Exchange'!$R$117)*100</f>
        <v>0</v>
      </c>
      <c r="D383" s="261">
        <f t="shared" si="80"/>
        <v>0</v>
      </c>
      <c r="E383" s="260">
        <f>('Pivot Table for Data Exchange'!$R$120)*100</f>
        <v>0</v>
      </c>
      <c r="F383" s="260">
        <f>('Pivot Table for Data Exchange'!$R$123)*100</f>
        <v>0</v>
      </c>
      <c r="G383" s="268">
        <f>('Pivot Table for Data Exchange'!$R$126)*100</f>
        <v>0</v>
      </c>
      <c r="H383" s="260">
        <f>('Pivot Table for Data Exchange'!$R$129)*100</f>
        <v>0</v>
      </c>
      <c r="I383" s="231"/>
      <c r="J383" s="299"/>
      <c r="K383" s="299"/>
      <c r="L383" s="299"/>
      <c r="M383" s="299"/>
      <c r="N383" s="299"/>
      <c r="O383" s="299"/>
      <c r="P383" s="299"/>
      <c r="Q383" s="265">
        <f t="shared" si="74"/>
        <v>0</v>
      </c>
      <c r="R383" s="265"/>
      <c r="S383" s="266"/>
      <c r="U383" s="266"/>
      <c r="V383" s="266"/>
      <c r="W383" s="266"/>
      <c r="X383" s="266"/>
      <c r="Y383" s="266"/>
      <c r="Z383" s="266"/>
      <c r="AA383" s="266"/>
      <c r="AB383" s="266"/>
      <c r="AC383" s="266"/>
      <c r="AD383" s="266"/>
      <c r="AE383" s="266"/>
      <c r="AF383" s="266"/>
      <c r="AG383" s="266"/>
      <c r="AH383" s="266"/>
      <c r="AI383" s="266"/>
      <c r="AJ383" s="266"/>
      <c r="AK383" s="266"/>
      <c r="AL383" s="266"/>
      <c r="AM383" s="266"/>
      <c r="AN383" s="266"/>
      <c r="AO383" s="266"/>
    </row>
    <row r="384" spans="1:41" ht="15.75" customHeight="1">
      <c r="B384" s="260"/>
      <c r="C384" s="260"/>
      <c r="D384" s="261"/>
      <c r="E384" s="260"/>
      <c r="F384" s="260"/>
      <c r="G384" s="268"/>
      <c r="H384" s="260"/>
      <c r="I384" s="231"/>
      <c r="J384" s="299"/>
      <c r="K384" s="299"/>
      <c r="L384" s="299"/>
      <c r="M384" s="299"/>
      <c r="N384" s="299"/>
      <c r="O384" s="299"/>
      <c r="P384" s="299"/>
      <c r="Q384" s="265">
        <f t="shared" si="74"/>
        <v>0</v>
      </c>
      <c r="R384" s="265"/>
      <c r="S384" s="266"/>
      <c r="U384" s="266"/>
      <c r="V384" s="266"/>
      <c r="W384" s="266"/>
      <c r="X384" s="266"/>
      <c r="Y384" s="266"/>
      <c r="Z384" s="266"/>
      <c r="AA384" s="266"/>
      <c r="AB384" s="266"/>
      <c r="AC384" s="266"/>
      <c r="AD384" s="266"/>
      <c r="AE384" s="266"/>
      <c r="AF384" s="266"/>
      <c r="AG384" s="266"/>
      <c r="AH384" s="266"/>
      <c r="AI384" s="266"/>
      <c r="AJ384" s="266"/>
      <c r="AK384" s="266"/>
      <c r="AL384" s="266"/>
      <c r="AM384" s="266"/>
      <c r="AN384" s="266"/>
      <c r="AO384" s="266"/>
    </row>
    <row r="385" spans="1:41" ht="15.75" customHeight="1">
      <c r="A385" s="231" t="s">
        <v>670</v>
      </c>
      <c r="B385" s="260">
        <f>('Pivot Table for Data Exchange'!$R$150)*100</f>
        <v>63.456766317035587</v>
      </c>
      <c r="C385" s="260">
        <f>('Pivot Table for Data Exchange'!$R$153)*100</f>
        <v>0</v>
      </c>
      <c r="D385" s="261">
        <f t="shared" ref="D385:D388" si="81">SUM(E385:G385)</f>
        <v>36.54323368296442</v>
      </c>
      <c r="E385" s="260">
        <f>('Pivot Table for Data Exchange'!$R$156)*100</f>
        <v>35.971390503270385</v>
      </c>
      <c r="F385" s="260">
        <f>('Pivot Table for Data Exchange'!$R$159)*100</f>
        <v>0.5718431796940332</v>
      </c>
      <c r="G385" s="268">
        <f>('Pivot Table for Data Exchange'!$R$162)*100</f>
        <v>0</v>
      </c>
      <c r="H385" s="260">
        <f>('Pivot Table for Data Exchange'!$R$165)*100</f>
        <v>0</v>
      </c>
      <c r="I385" s="231"/>
      <c r="J385" s="299"/>
      <c r="K385" s="299"/>
      <c r="L385" s="299"/>
      <c r="M385" s="299"/>
      <c r="N385" s="299"/>
      <c r="O385" s="299"/>
      <c r="P385" s="299"/>
      <c r="Q385" s="265">
        <f t="shared" si="74"/>
        <v>100</v>
      </c>
      <c r="R385" s="265"/>
      <c r="S385" s="266"/>
      <c r="T385" s="266"/>
      <c r="U385" s="266"/>
      <c r="V385" s="266"/>
      <c r="W385" s="266"/>
      <c r="X385" s="266"/>
      <c r="Y385" s="266"/>
      <c r="Z385" s="266"/>
      <c r="AA385" s="266"/>
      <c r="AB385" s="266"/>
      <c r="AC385" s="266"/>
      <c r="AD385" s="266"/>
      <c r="AE385" s="266"/>
      <c r="AF385" s="266"/>
      <c r="AG385" s="266"/>
      <c r="AH385" s="266"/>
      <c r="AI385" s="266"/>
      <c r="AJ385" s="266"/>
      <c r="AK385" s="266"/>
      <c r="AL385" s="266"/>
      <c r="AM385" s="266"/>
      <c r="AN385" s="266"/>
      <c r="AO385" s="266"/>
    </row>
    <row r="386" spans="1:41" ht="15.75" customHeight="1">
      <c r="A386" s="231" t="s">
        <v>671</v>
      </c>
      <c r="B386" s="260">
        <f>('Pivot Table for Data Exchange'!$R$186)*100</f>
        <v>63.362474243303254</v>
      </c>
      <c r="C386" s="260">
        <f>('Pivot Table for Data Exchange'!$R$189)*100</f>
        <v>5.219357032828535</v>
      </c>
      <c r="D386" s="261">
        <f t="shared" si="81"/>
        <v>31.418168723868206</v>
      </c>
      <c r="E386" s="260">
        <f>('Pivot Table for Data Exchange'!$R$192)*100</f>
        <v>31.418168723868206</v>
      </c>
      <c r="F386" s="260">
        <f>('Pivot Table for Data Exchange'!$R$195)*100</f>
        <v>0</v>
      </c>
      <c r="G386" s="268">
        <f>('Pivot Table for Data Exchange'!$R$198)*100</f>
        <v>0</v>
      </c>
      <c r="H386" s="260">
        <f>('Pivot Table for Data Exchange'!$R$201)*100</f>
        <v>0</v>
      </c>
      <c r="I386" s="231"/>
      <c r="J386" s="299"/>
      <c r="K386" s="299"/>
      <c r="L386" s="299"/>
      <c r="M386" s="299"/>
      <c r="N386" s="299"/>
      <c r="O386" s="299"/>
      <c r="P386" s="299"/>
      <c r="Q386" s="265">
        <f t="shared" si="74"/>
        <v>100</v>
      </c>
      <c r="R386" s="265"/>
      <c r="S386" s="266"/>
      <c r="T386" s="266"/>
      <c r="U386" s="266"/>
      <c r="V386" s="266"/>
      <c r="W386" s="266"/>
      <c r="X386" s="266"/>
      <c r="Y386" s="266"/>
      <c r="Z386" s="266"/>
      <c r="AA386" s="266"/>
      <c r="AB386" s="266"/>
      <c r="AC386" s="266"/>
      <c r="AD386" s="266"/>
      <c r="AE386" s="266"/>
      <c r="AF386" s="266"/>
      <c r="AG386" s="266"/>
      <c r="AH386" s="266"/>
      <c r="AI386" s="266"/>
      <c r="AJ386" s="266"/>
      <c r="AK386" s="266"/>
      <c r="AL386" s="266"/>
      <c r="AM386" s="266"/>
      <c r="AN386" s="266"/>
      <c r="AO386" s="266"/>
    </row>
    <row r="387" spans="1:41" ht="15.75" customHeight="1">
      <c r="A387" s="231" t="s">
        <v>672</v>
      </c>
      <c r="B387" s="260">
        <f>('Pivot Table for Data Exchange'!$R$222)*100</f>
        <v>81.208959974508431</v>
      </c>
      <c r="C387" s="260">
        <f>('Pivot Table for Data Exchange'!$R$225)*100</f>
        <v>0</v>
      </c>
      <c r="D387" s="261">
        <f t="shared" si="81"/>
        <v>18.791040025491569</v>
      </c>
      <c r="E387" s="260">
        <f>('Pivot Table for Data Exchange'!$R$228)*100</f>
        <v>18.791040025491569</v>
      </c>
      <c r="F387" s="260">
        <f>('Pivot Table for Data Exchange'!$R$231)*100</f>
        <v>0</v>
      </c>
      <c r="G387" s="268">
        <f>('Pivot Table for Data Exchange'!$R$234)*100</f>
        <v>0</v>
      </c>
      <c r="H387" s="260">
        <f>('Pivot Table for Data Exchange'!$R$237)*100</f>
        <v>0</v>
      </c>
      <c r="I387" s="306"/>
      <c r="J387" s="299"/>
      <c r="K387" s="299"/>
      <c r="L387" s="299"/>
      <c r="M387" s="299"/>
      <c r="N387" s="299"/>
      <c r="O387" s="299"/>
      <c r="P387" s="299"/>
      <c r="Q387" s="265">
        <f>SUM(I387,C387,D387,H387)</f>
        <v>18.791040025491569</v>
      </c>
      <c r="R387" s="265"/>
      <c r="S387" s="266"/>
      <c r="T387" s="240"/>
      <c r="U387" s="266"/>
      <c r="V387" s="266"/>
      <c r="W387" s="266"/>
      <c r="X387" s="266"/>
      <c r="Y387" s="266"/>
      <c r="Z387" s="266"/>
      <c r="AA387" s="266"/>
      <c r="AB387" s="266"/>
      <c r="AC387" s="266"/>
      <c r="AD387" s="266"/>
      <c r="AE387" s="266"/>
      <c r="AF387" s="266"/>
      <c r="AG387" s="266"/>
      <c r="AH387" s="266"/>
      <c r="AI387" s="266"/>
      <c r="AJ387" s="266"/>
      <c r="AK387" s="266"/>
      <c r="AL387" s="266"/>
      <c r="AM387" s="266"/>
      <c r="AN387" s="266"/>
      <c r="AO387" s="266"/>
    </row>
    <row r="388" spans="1:41" ht="15.75" customHeight="1">
      <c r="A388" s="231" t="s">
        <v>673</v>
      </c>
      <c r="B388" s="260">
        <f>('Pivot Table for Data Exchange'!$R$258)*100</f>
        <v>0</v>
      </c>
      <c r="C388" s="260">
        <f>('Pivot Table for Data Exchange'!$R$261)*100</f>
        <v>0</v>
      </c>
      <c r="D388" s="261">
        <f t="shared" si="81"/>
        <v>0</v>
      </c>
      <c r="E388" s="260">
        <f>('Pivot Table for Data Exchange'!$R$264)*100</f>
        <v>0</v>
      </c>
      <c r="F388" s="260">
        <f>('Pivot Table for Data Exchange'!$R$267)*100</f>
        <v>0</v>
      </c>
      <c r="G388" s="268">
        <f>('Pivot Table for Data Exchange'!$R$270)*100</f>
        <v>0</v>
      </c>
      <c r="H388" s="260">
        <f>('Pivot Table for Data Exchange'!$R$273)*100</f>
        <v>0</v>
      </c>
      <c r="I388" s="231"/>
      <c r="J388" s="299"/>
      <c r="K388" s="299"/>
      <c r="L388" s="299"/>
      <c r="M388" s="299"/>
      <c r="N388" s="299"/>
      <c r="O388" s="299"/>
      <c r="P388" s="299"/>
      <c r="Q388" s="265">
        <f t="shared" si="74"/>
        <v>0</v>
      </c>
      <c r="R388" s="265"/>
      <c r="S388" s="266"/>
      <c r="U388" s="266"/>
      <c r="V388" s="266"/>
      <c r="W388" s="266"/>
      <c r="X388" s="266"/>
      <c r="Y388" s="266"/>
      <c r="Z388" s="266"/>
      <c r="AA388" s="266"/>
      <c r="AB388" s="266"/>
      <c r="AC388" s="266"/>
      <c r="AD388" s="266"/>
      <c r="AE388" s="266"/>
      <c r="AF388" s="266"/>
      <c r="AG388" s="266"/>
      <c r="AH388" s="266"/>
      <c r="AI388" s="266"/>
      <c r="AJ388" s="266"/>
      <c r="AK388" s="266"/>
      <c r="AL388" s="266"/>
      <c r="AM388" s="266"/>
      <c r="AN388" s="266"/>
      <c r="AO388" s="266"/>
    </row>
    <row r="389" spans="1:41" ht="15.75" customHeight="1">
      <c r="B389" s="260"/>
      <c r="C389" s="260"/>
      <c r="D389" s="261"/>
      <c r="E389" s="260"/>
      <c r="F389" s="260"/>
      <c r="G389" s="268"/>
      <c r="H389" s="260"/>
      <c r="I389" s="231"/>
      <c r="J389" s="299"/>
      <c r="K389" s="299"/>
      <c r="L389" s="299"/>
      <c r="M389" s="299"/>
      <c r="N389" s="299"/>
      <c r="O389" s="299"/>
      <c r="P389" s="299"/>
      <c r="Q389" s="265">
        <f t="shared" si="74"/>
        <v>0</v>
      </c>
      <c r="R389" s="265"/>
      <c r="S389" s="266"/>
      <c r="U389" s="266"/>
      <c r="V389" s="266"/>
      <c r="W389" s="266"/>
      <c r="X389" s="266"/>
      <c r="Y389" s="266"/>
      <c r="Z389" s="266"/>
      <c r="AA389" s="266"/>
      <c r="AB389" s="266"/>
      <c r="AC389" s="266"/>
      <c r="AD389" s="266"/>
      <c r="AE389" s="266"/>
      <c r="AF389" s="266"/>
      <c r="AG389" s="266"/>
      <c r="AH389" s="266"/>
      <c r="AI389" s="266"/>
      <c r="AJ389" s="266"/>
      <c r="AK389" s="266"/>
      <c r="AL389" s="266"/>
      <c r="AM389" s="266"/>
      <c r="AN389" s="266"/>
      <c r="AO389" s="266"/>
    </row>
    <row r="390" spans="1:41" ht="15.75" customHeight="1">
      <c r="A390" s="231" t="s">
        <v>674</v>
      </c>
      <c r="B390" s="260">
        <f>('Pivot Table for Data Exchange'!$R$294)*100</f>
        <v>0</v>
      </c>
      <c r="C390" s="260">
        <f>('Pivot Table for Data Exchange'!$R$297)*100</f>
        <v>0</v>
      </c>
      <c r="D390" s="261">
        <f t="shared" ref="D390:D392" si="82">SUM(E390:G390)</f>
        <v>0</v>
      </c>
      <c r="E390" s="260">
        <f>('Pivot Table for Data Exchange'!$R$300)*100</f>
        <v>0</v>
      </c>
      <c r="F390" s="260">
        <f>('Pivot Table for Data Exchange'!$R$303)*100</f>
        <v>0</v>
      </c>
      <c r="G390" s="268">
        <f>('Pivot Table for Data Exchange'!$R$306)*100</f>
        <v>0</v>
      </c>
      <c r="H390" s="260">
        <f>('Pivot Table for Data Exchange'!$R$309)*100</f>
        <v>0</v>
      </c>
      <c r="I390" s="231"/>
      <c r="J390" s="299"/>
      <c r="K390" s="299"/>
      <c r="L390" s="299"/>
      <c r="M390" s="299"/>
      <c r="N390" s="299"/>
      <c r="O390" s="299"/>
      <c r="P390" s="299"/>
      <c r="Q390" s="265">
        <f t="shared" si="74"/>
        <v>0</v>
      </c>
      <c r="R390" s="265"/>
      <c r="S390" s="266"/>
      <c r="T390" s="266"/>
      <c r="U390" s="266"/>
      <c r="V390" s="266"/>
      <c r="W390" s="266"/>
      <c r="X390" s="266"/>
      <c r="Y390" s="266"/>
      <c r="Z390" s="266"/>
      <c r="AA390" s="266"/>
      <c r="AB390" s="266"/>
      <c r="AC390" s="266"/>
      <c r="AD390" s="266"/>
      <c r="AE390" s="266"/>
      <c r="AF390" s="266"/>
      <c r="AG390" s="266"/>
      <c r="AH390" s="266"/>
      <c r="AI390" s="266"/>
      <c r="AJ390" s="266"/>
      <c r="AK390" s="266"/>
      <c r="AL390" s="266"/>
      <c r="AM390" s="266"/>
      <c r="AN390" s="266"/>
      <c r="AO390" s="266"/>
    </row>
    <row r="391" spans="1:41" ht="15.75" customHeight="1">
      <c r="A391" s="231" t="s">
        <v>675</v>
      </c>
      <c r="B391" s="260">
        <f>('Pivot Table for Data Exchange'!$R$330)*100</f>
        <v>0</v>
      </c>
      <c r="C391" s="260">
        <f>('Pivot Table for Data Exchange'!$R$333)*100</f>
        <v>0</v>
      </c>
      <c r="D391" s="261">
        <f t="shared" si="82"/>
        <v>0</v>
      </c>
      <c r="E391" s="260">
        <f>('Pivot Table for Data Exchange'!$R$336)*100</f>
        <v>0</v>
      </c>
      <c r="F391" s="260">
        <f>('Pivot Table for Data Exchange'!$R$339)*100</f>
        <v>0</v>
      </c>
      <c r="G391" s="268">
        <f>('Pivot Table for Data Exchange'!$R$342)*100</f>
        <v>0</v>
      </c>
      <c r="H391" s="260">
        <f>('Pivot Table for Data Exchange'!$R$345)*100</f>
        <v>0</v>
      </c>
      <c r="I391" s="231"/>
      <c r="J391" s="299"/>
      <c r="K391" s="299"/>
      <c r="L391" s="299"/>
      <c r="M391" s="299"/>
      <c r="N391" s="299"/>
      <c r="O391" s="299"/>
      <c r="P391" s="299"/>
      <c r="Q391" s="265">
        <f t="shared" si="74"/>
        <v>0</v>
      </c>
      <c r="R391" s="265"/>
      <c r="S391" s="266"/>
      <c r="T391" s="266"/>
      <c r="U391" s="266"/>
      <c r="V391" s="266"/>
      <c r="W391" s="266"/>
      <c r="X391" s="266"/>
      <c r="Y391" s="266"/>
      <c r="Z391" s="266"/>
      <c r="AA391" s="266"/>
      <c r="AB391" s="266"/>
      <c r="AC391" s="266"/>
      <c r="AD391" s="266"/>
      <c r="AE391" s="266"/>
      <c r="AF391" s="266"/>
      <c r="AG391" s="266"/>
      <c r="AH391" s="266"/>
      <c r="AI391" s="266"/>
      <c r="AJ391" s="266"/>
      <c r="AK391" s="266"/>
      <c r="AL391" s="266"/>
      <c r="AM391" s="266"/>
      <c r="AN391" s="266"/>
      <c r="AO391" s="266"/>
    </row>
    <row r="392" spans="1:41" ht="15.75" customHeight="1">
      <c r="A392" s="231" t="s">
        <v>676</v>
      </c>
      <c r="B392" s="260">
        <f>('Pivot Table for Data Exchange'!$R$366)*100</f>
        <v>0</v>
      </c>
      <c r="C392" s="260">
        <f>('Pivot Table for Data Exchange'!$R$369)*100</f>
        <v>0</v>
      </c>
      <c r="D392" s="261">
        <f t="shared" si="82"/>
        <v>0</v>
      </c>
      <c r="E392" s="260">
        <f>('Pivot Table for Data Exchange'!$R$372)*100</f>
        <v>0</v>
      </c>
      <c r="F392" s="260">
        <f>('Pivot Table for Data Exchange'!$R$375)*100</f>
        <v>0</v>
      </c>
      <c r="G392" s="268">
        <f>('Pivot Table for Data Exchange'!$R$378)*100</f>
        <v>0</v>
      </c>
      <c r="H392" s="260">
        <f>('Pivot Table for Data Exchange'!$R$381)*100</f>
        <v>0</v>
      </c>
      <c r="I392" s="231"/>
      <c r="J392" s="299"/>
      <c r="K392" s="299"/>
      <c r="L392" s="299"/>
      <c r="M392" s="299"/>
      <c r="N392" s="299"/>
      <c r="O392" s="299"/>
      <c r="P392" s="299"/>
      <c r="Q392" s="265">
        <f t="shared" si="74"/>
        <v>0</v>
      </c>
      <c r="R392" s="265"/>
      <c r="S392" s="266"/>
      <c r="T392" s="240"/>
      <c r="U392" s="266"/>
      <c r="V392" s="266"/>
      <c r="W392" s="266"/>
      <c r="X392" s="266"/>
      <c r="Y392" s="266"/>
      <c r="Z392" s="266"/>
      <c r="AA392" s="266"/>
      <c r="AB392" s="266"/>
      <c r="AC392" s="266"/>
      <c r="AD392" s="266"/>
      <c r="AE392" s="266"/>
      <c r="AF392" s="266"/>
      <c r="AG392" s="266"/>
      <c r="AH392" s="266"/>
      <c r="AI392" s="266"/>
      <c r="AJ392" s="266"/>
      <c r="AK392" s="266"/>
      <c r="AL392" s="266"/>
      <c r="AM392" s="266"/>
      <c r="AN392" s="266"/>
      <c r="AO392" s="266"/>
    </row>
    <row r="393" spans="1:41" ht="15.75" customHeight="1">
      <c r="A393" s="231" t="s">
        <v>677</v>
      </c>
      <c r="B393" s="260">
        <f>('Pivot Table for Data Exchange'!$R$402)*100</f>
        <v>0</v>
      </c>
      <c r="C393" s="260">
        <f>('Pivot Table for Data Exchange'!$R$405)*100</f>
        <v>0</v>
      </c>
      <c r="D393" s="261">
        <f>SUM(E393:G393)</f>
        <v>0</v>
      </c>
      <c r="E393" s="260">
        <f>('Pivot Table for Data Exchange'!$R$408)*100</f>
        <v>0</v>
      </c>
      <c r="F393" s="260">
        <f>('Pivot Table for Data Exchange'!$R$411)*100</f>
        <v>0</v>
      </c>
      <c r="G393" s="268">
        <f>('Pivot Table for Data Exchange'!$R$414)*100</f>
        <v>0</v>
      </c>
      <c r="H393" s="260">
        <f>('Pivot Table for Data Exchange'!$R$417)*100</f>
        <v>0</v>
      </c>
      <c r="I393" s="231"/>
      <c r="J393" s="299"/>
      <c r="K393" s="299"/>
      <c r="L393" s="299"/>
      <c r="M393" s="299"/>
      <c r="N393" s="299"/>
      <c r="O393" s="299"/>
      <c r="P393" s="299"/>
      <c r="Q393" s="265">
        <f t="shared" si="74"/>
        <v>0</v>
      </c>
      <c r="R393" s="265"/>
      <c r="S393" s="266"/>
      <c r="T393" s="266"/>
      <c r="U393" s="266"/>
      <c r="V393" s="266"/>
      <c r="W393" s="266"/>
      <c r="X393" s="266"/>
      <c r="Y393" s="266"/>
      <c r="Z393" s="266"/>
      <c r="AA393" s="266"/>
      <c r="AB393" s="266"/>
      <c r="AC393" s="266"/>
      <c r="AD393" s="266"/>
      <c r="AE393" s="266"/>
      <c r="AF393" s="266"/>
      <c r="AG393" s="266"/>
      <c r="AH393" s="266"/>
      <c r="AI393" s="266"/>
      <c r="AJ393" s="266"/>
      <c r="AK393" s="266"/>
      <c r="AL393" s="266"/>
      <c r="AM393" s="266"/>
      <c r="AN393" s="266"/>
      <c r="AO393" s="266"/>
    </row>
    <row r="394" spans="1:41" ht="15.75" customHeight="1">
      <c r="B394" s="260"/>
      <c r="C394" s="260"/>
      <c r="D394" s="261"/>
      <c r="E394" s="260"/>
      <c r="F394" s="260"/>
      <c r="G394" s="268"/>
      <c r="H394" s="260"/>
      <c r="I394" s="231"/>
      <c r="J394" s="299"/>
      <c r="K394" s="299"/>
      <c r="L394" s="299"/>
      <c r="M394" s="299"/>
      <c r="N394" s="299"/>
      <c r="O394" s="299"/>
      <c r="P394" s="299"/>
      <c r="Q394" s="265">
        <f t="shared" si="74"/>
        <v>0</v>
      </c>
      <c r="R394" s="265"/>
      <c r="S394" s="266"/>
      <c r="T394" s="266"/>
      <c r="U394" s="266"/>
      <c r="V394" s="266"/>
      <c r="W394" s="266"/>
      <c r="X394" s="266"/>
      <c r="Y394" s="266"/>
      <c r="Z394" s="266"/>
      <c r="AA394" s="266"/>
      <c r="AB394" s="266"/>
      <c r="AC394" s="266"/>
      <c r="AD394" s="266"/>
      <c r="AE394" s="266"/>
      <c r="AF394" s="266"/>
      <c r="AG394" s="266"/>
      <c r="AH394" s="266"/>
      <c r="AI394" s="266"/>
      <c r="AJ394" s="266"/>
      <c r="AK394" s="266"/>
      <c r="AL394" s="266"/>
      <c r="AM394" s="266"/>
      <c r="AN394" s="266"/>
      <c r="AO394" s="266"/>
    </row>
    <row r="395" spans="1:41" ht="15.75" customHeight="1">
      <c r="A395" s="231" t="s">
        <v>678</v>
      </c>
      <c r="B395" s="260">
        <f>('Pivot Table for Data Exchange'!$R$438)*100</f>
        <v>0</v>
      </c>
      <c r="C395" s="260">
        <f>('Pivot Table for Data Exchange'!$R$441)*100</f>
        <v>0</v>
      </c>
      <c r="D395" s="261">
        <f>SUM(E395:G395)</f>
        <v>0</v>
      </c>
      <c r="E395" s="260">
        <f>('Pivot Table for Data Exchange'!$R$444)*100</f>
        <v>0</v>
      </c>
      <c r="F395" s="260">
        <f>('Pivot Table for Data Exchange'!$R$447)*100</f>
        <v>0</v>
      </c>
      <c r="G395" s="268">
        <f>('Pivot Table for Data Exchange'!$R$450)*100</f>
        <v>0</v>
      </c>
      <c r="H395" s="260">
        <f>('Pivot Table for Data Exchange'!$R$453)*100</f>
        <v>0</v>
      </c>
      <c r="I395" s="231"/>
      <c r="J395" s="299"/>
      <c r="K395" s="299"/>
      <c r="L395" s="299"/>
      <c r="M395" s="299"/>
      <c r="N395" s="299"/>
      <c r="O395" s="299"/>
      <c r="P395" s="299"/>
      <c r="Q395" s="265">
        <f t="shared" si="74"/>
        <v>0</v>
      </c>
      <c r="R395" s="265"/>
      <c r="S395" s="266"/>
      <c r="T395" s="266"/>
      <c r="U395" s="266"/>
      <c r="V395" s="266"/>
      <c r="W395" s="266"/>
      <c r="X395" s="266"/>
      <c r="Y395" s="266"/>
      <c r="Z395" s="266"/>
      <c r="AA395" s="266"/>
      <c r="AB395" s="266"/>
      <c r="AC395" s="266"/>
      <c r="AD395" s="266"/>
      <c r="AE395" s="266"/>
      <c r="AF395" s="266"/>
      <c r="AG395" s="266"/>
      <c r="AH395" s="266"/>
      <c r="AI395" s="266"/>
      <c r="AJ395" s="266"/>
      <c r="AK395" s="266"/>
      <c r="AL395" s="266"/>
      <c r="AM395" s="266"/>
      <c r="AN395" s="266"/>
      <c r="AO395" s="266"/>
    </row>
    <row r="396" spans="1:41" ht="15.75" customHeight="1">
      <c r="A396" s="231" t="s">
        <v>679</v>
      </c>
      <c r="B396" s="260">
        <f>('Pivot Table for Data Exchange'!$R$474)*100</f>
        <v>0</v>
      </c>
      <c r="C396" s="260">
        <f>('Pivot Table for Data Exchange'!$R$477)*100</f>
        <v>0</v>
      </c>
      <c r="D396" s="261">
        <f>SUM(E396:G396)</f>
        <v>0</v>
      </c>
      <c r="E396" s="260">
        <f>('Pivot Table for Data Exchange'!$R$480)*100</f>
        <v>0</v>
      </c>
      <c r="F396" s="260">
        <f>('Pivot Table for Data Exchange'!$R$483)*100</f>
        <v>0</v>
      </c>
      <c r="G396" s="268">
        <f>('Pivot Table for Data Exchange'!$R$486)*100</f>
        <v>0</v>
      </c>
      <c r="H396" s="260">
        <f>('Pivot Table for Data Exchange'!$R$489)*100</f>
        <v>0</v>
      </c>
      <c r="I396" s="231"/>
      <c r="J396" s="299"/>
      <c r="K396" s="299"/>
      <c r="L396" s="299"/>
      <c r="M396" s="299"/>
      <c r="N396" s="299"/>
      <c r="O396" s="299"/>
      <c r="P396" s="299"/>
      <c r="Q396" s="265">
        <f t="shared" ref="Q396:Q457" si="83">SUM(B396,C396,D396,H396)</f>
        <v>0</v>
      </c>
      <c r="R396" s="265"/>
      <c r="S396" s="266"/>
      <c r="T396" s="266"/>
      <c r="U396" s="266"/>
      <c r="V396" s="266"/>
      <c r="W396" s="266"/>
      <c r="X396" s="266"/>
      <c r="Y396" s="266"/>
      <c r="Z396" s="266"/>
      <c r="AA396" s="266"/>
      <c r="AB396" s="266"/>
      <c r="AC396" s="266"/>
      <c r="AD396" s="266"/>
      <c r="AE396" s="266"/>
      <c r="AF396" s="266"/>
      <c r="AG396" s="266"/>
      <c r="AH396" s="266"/>
      <c r="AI396" s="266"/>
      <c r="AJ396" s="266"/>
      <c r="AK396" s="266"/>
      <c r="AL396" s="266"/>
      <c r="AM396" s="266"/>
      <c r="AN396" s="266"/>
      <c r="AO396" s="266"/>
    </row>
    <row r="397" spans="1:41" ht="15.75" customHeight="1">
      <c r="A397" s="231" t="s">
        <v>680</v>
      </c>
      <c r="B397" s="260">
        <f>('Pivot Table for Data Exchange'!$R$510)*100</f>
        <v>0</v>
      </c>
      <c r="C397" s="260">
        <f>('Pivot Table for Data Exchange'!$R$513)*100</f>
        <v>0</v>
      </c>
      <c r="D397" s="261">
        <f t="shared" ref="D397" si="84">SUM(E397:G397)</f>
        <v>0</v>
      </c>
      <c r="E397" s="260">
        <f>('Pivot Table for Data Exchange'!$R$516)*100</f>
        <v>0</v>
      </c>
      <c r="F397" s="260">
        <f>('Pivot Table for Data Exchange'!$R$519)*100</f>
        <v>0</v>
      </c>
      <c r="G397" s="268">
        <f>('Pivot Table for Data Exchange'!$R$522)*100</f>
        <v>0</v>
      </c>
      <c r="H397" s="260">
        <f>('Pivot Table for Data Exchange'!$R$525)*100</f>
        <v>0</v>
      </c>
      <c r="I397" s="231"/>
      <c r="J397" s="299"/>
      <c r="K397" s="299"/>
      <c r="L397" s="299"/>
      <c r="M397" s="299"/>
      <c r="N397" s="299"/>
      <c r="O397" s="299"/>
      <c r="P397" s="299"/>
      <c r="Q397" s="265">
        <f t="shared" si="83"/>
        <v>0</v>
      </c>
      <c r="R397" s="265"/>
      <c r="S397" s="266"/>
      <c r="T397" s="266"/>
      <c r="U397" s="266"/>
      <c r="V397" s="266"/>
      <c r="W397" s="266"/>
      <c r="X397" s="266"/>
      <c r="Y397" s="266"/>
      <c r="Z397" s="266"/>
      <c r="AA397" s="266"/>
      <c r="AB397" s="266"/>
      <c r="AC397" s="266"/>
      <c r="AD397" s="266"/>
      <c r="AE397" s="266"/>
      <c r="AF397" s="266"/>
      <c r="AG397" s="266"/>
      <c r="AH397" s="266"/>
      <c r="AI397" s="266"/>
      <c r="AJ397" s="266"/>
      <c r="AK397" s="266"/>
      <c r="AL397" s="266"/>
      <c r="AM397" s="266"/>
      <c r="AN397" s="266"/>
      <c r="AO397" s="266"/>
    </row>
    <row r="398" spans="1:41" ht="15.75" customHeight="1">
      <c r="A398" s="237" t="s">
        <v>681</v>
      </c>
      <c r="B398" s="273">
        <f>('Pivot Table for Data Exchange'!$R$546)*100</f>
        <v>0</v>
      </c>
      <c r="C398" s="273">
        <f>('Pivot Table for Data Exchange'!$R$549)*100</f>
        <v>0</v>
      </c>
      <c r="D398" s="274">
        <f>SUM(E398:G398)</f>
        <v>0</v>
      </c>
      <c r="E398" s="273">
        <f>('Pivot Table for Data Exchange'!$R$552)*100</f>
        <v>0</v>
      </c>
      <c r="F398" s="273">
        <f>('Pivot Table for Data Exchange'!$R$555)*100</f>
        <v>0</v>
      </c>
      <c r="G398" s="275">
        <f>('Pivot Table for Data Exchange'!$R$558)*100</f>
        <v>0</v>
      </c>
      <c r="H398" s="273">
        <f>('Pivot Table for Data Exchange'!$R$561)*100</f>
        <v>0</v>
      </c>
      <c r="I398" s="231"/>
      <c r="J398" s="299"/>
      <c r="K398" s="299"/>
      <c r="L398" s="299"/>
      <c r="M398" s="299"/>
      <c r="N398" s="299"/>
      <c r="O398" s="299"/>
      <c r="P398" s="299"/>
      <c r="Q398" s="265">
        <f t="shared" si="83"/>
        <v>0</v>
      </c>
      <c r="R398" s="265"/>
      <c r="S398" s="266"/>
      <c r="T398" s="266"/>
      <c r="U398" s="266"/>
      <c r="V398" s="266"/>
      <c r="W398" s="266"/>
      <c r="X398" s="266"/>
      <c r="Y398" s="266"/>
      <c r="Z398" s="266"/>
      <c r="AA398" s="266"/>
      <c r="AB398" s="266"/>
      <c r="AC398" s="266"/>
      <c r="AD398" s="266"/>
      <c r="AE398" s="266"/>
      <c r="AF398" s="266"/>
      <c r="AG398" s="266"/>
      <c r="AH398" s="266"/>
      <c r="AI398" s="266"/>
      <c r="AJ398" s="266"/>
      <c r="AK398" s="266"/>
      <c r="AL398" s="266"/>
      <c r="AM398" s="266"/>
      <c r="AN398" s="266"/>
      <c r="AO398" s="266"/>
    </row>
    <row r="399" spans="1:41" s="278" customFormat="1" ht="12" customHeight="1">
      <c r="A399" s="279" t="s">
        <v>706</v>
      </c>
      <c r="B399" s="280"/>
      <c r="C399" s="280"/>
      <c r="D399" s="281"/>
      <c r="E399" s="280"/>
      <c r="F399" s="281"/>
      <c r="G399" s="281"/>
      <c r="H399" s="280"/>
      <c r="I399" s="289"/>
      <c r="J399" s="280"/>
      <c r="K399" s="280"/>
      <c r="L399" s="281"/>
      <c r="M399" s="280"/>
      <c r="N399" s="281"/>
      <c r="O399" s="281"/>
      <c r="P399" s="280"/>
      <c r="Q399" s="265">
        <f t="shared" si="83"/>
        <v>0</v>
      </c>
      <c r="R399" s="300"/>
      <c r="S399" s="282"/>
      <c r="T399" s="282"/>
      <c r="U399" s="282"/>
      <c r="V399" s="282"/>
      <c r="W399" s="282"/>
      <c r="X399" s="282"/>
      <c r="Y399" s="282"/>
      <c r="Z399" s="282"/>
      <c r="AA399" s="282"/>
      <c r="AB399" s="282"/>
      <c r="AC399" s="282"/>
      <c r="AD399" s="282"/>
      <c r="AE399" s="282"/>
      <c r="AF399" s="282"/>
      <c r="AG399" s="282"/>
      <c r="AH399" s="282"/>
      <c r="AI399" s="282"/>
      <c r="AJ399" s="282"/>
      <c r="AK399" s="282"/>
      <c r="AL399" s="282"/>
      <c r="AM399" s="282"/>
      <c r="AN399" s="282"/>
      <c r="AO399" s="282"/>
    </row>
    <row r="400" spans="1:41" s="278" customFormat="1" ht="13.5" customHeight="1">
      <c r="A400" s="289"/>
      <c r="B400" s="280"/>
      <c r="C400" s="280"/>
      <c r="D400" s="281"/>
      <c r="E400" s="280"/>
      <c r="F400" s="281"/>
      <c r="G400" s="281"/>
      <c r="H400" s="280"/>
      <c r="I400" s="289"/>
      <c r="J400" s="280"/>
      <c r="K400" s="280"/>
      <c r="L400" s="281"/>
      <c r="M400" s="280"/>
      <c r="N400" s="281"/>
      <c r="O400" s="281"/>
      <c r="P400" s="280"/>
      <c r="Q400" s="265">
        <f t="shared" si="83"/>
        <v>0</v>
      </c>
      <c r="R400" s="300"/>
      <c r="S400" s="282"/>
      <c r="T400" s="282"/>
      <c r="U400" s="282"/>
      <c r="V400" s="282"/>
      <c r="W400" s="282"/>
      <c r="X400" s="282"/>
      <c r="Y400" s="282"/>
      <c r="Z400" s="282"/>
      <c r="AA400" s="282"/>
      <c r="AB400" s="282"/>
      <c r="AC400" s="282"/>
      <c r="AD400" s="282"/>
      <c r="AE400" s="282"/>
      <c r="AF400" s="282"/>
      <c r="AG400" s="282"/>
      <c r="AH400" s="282"/>
      <c r="AI400" s="282"/>
      <c r="AJ400" s="282"/>
      <c r="AK400" s="282"/>
      <c r="AL400" s="282"/>
      <c r="AM400" s="282"/>
      <c r="AN400" s="282"/>
      <c r="AO400" s="282"/>
    </row>
    <row r="401" spans="1:41" ht="15.75" customHeight="1">
      <c r="B401" s="302"/>
      <c r="C401" s="302"/>
      <c r="D401" s="302"/>
      <c r="E401" s="302"/>
      <c r="F401" s="302"/>
      <c r="G401" s="302"/>
      <c r="H401" s="284" t="s">
        <v>839</v>
      </c>
      <c r="I401" s="231"/>
      <c r="J401" s="299"/>
      <c r="K401" s="299"/>
      <c r="L401" s="299"/>
      <c r="M401" s="299"/>
      <c r="N401" s="299"/>
      <c r="O401" s="299"/>
      <c r="P401" s="299"/>
      <c r="Q401" s="265">
        <f t="shared" si="83"/>
        <v>0</v>
      </c>
      <c r="R401" s="265"/>
      <c r="S401" s="266"/>
      <c r="T401" s="266"/>
      <c r="U401" s="266"/>
      <c r="V401" s="266"/>
      <c r="W401" s="266"/>
      <c r="X401" s="266"/>
      <c r="Y401" s="266"/>
      <c r="Z401" s="266"/>
      <c r="AA401" s="266"/>
      <c r="AB401" s="266"/>
      <c r="AC401" s="266"/>
      <c r="AD401" s="266"/>
      <c r="AE401" s="266"/>
      <c r="AF401" s="266"/>
      <c r="AG401" s="266"/>
      <c r="AH401" s="266"/>
      <c r="AI401" s="266"/>
      <c r="AJ401" s="266"/>
      <c r="AK401" s="266"/>
      <c r="AL401" s="266"/>
      <c r="AM401" s="266"/>
      <c r="AN401" s="266"/>
      <c r="AO401" s="266"/>
    </row>
    <row r="402" spans="1:41" ht="18">
      <c r="A402" s="226" t="s">
        <v>728</v>
      </c>
      <c r="B402" s="227"/>
      <c r="C402" s="227"/>
      <c r="D402" s="227"/>
      <c r="E402" s="227"/>
      <c r="F402" s="227"/>
      <c r="G402" s="227"/>
      <c r="H402" s="227"/>
      <c r="Q402" s="265">
        <f t="shared" si="83"/>
        <v>0</v>
      </c>
    </row>
    <row r="403" spans="1:41" ht="13">
      <c r="A403" s="232"/>
      <c r="B403" s="228"/>
      <c r="C403" s="228"/>
      <c r="D403" s="228"/>
      <c r="E403" s="228"/>
      <c r="F403" s="228"/>
      <c r="G403" s="228"/>
      <c r="H403" s="228"/>
      <c r="Q403" s="265">
        <f t="shared" si="83"/>
        <v>0</v>
      </c>
    </row>
    <row r="404" spans="1:41" ht="15.5">
      <c r="A404" s="234" t="s">
        <v>687</v>
      </c>
      <c r="B404" s="228"/>
      <c r="C404" s="228"/>
      <c r="D404" s="228"/>
      <c r="E404" s="228"/>
      <c r="F404" s="228"/>
      <c r="G404" s="228"/>
      <c r="H404" s="228"/>
      <c r="Q404" s="265">
        <f t="shared" si="83"/>
        <v>0</v>
      </c>
    </row>
    <row r="405" spans="1:41" ht="15.5">
      <c r="A405" s="234" t="s">
        <v>777</v>
      </c>
      <c r="B405" s="228"/>
      <c r="C405" s="228"/>
      <c r="D405" s="228"/>
      <c r="E405" s="228"/>
      <c r="F405" s="228"/>
      <c r="G405" s="228"/>
      <c r="H405" s="228"/>
      <c r="Q405" s="265">
        <f t="shared" si="83"/>
        <v>0</v>
      </c>
    </row>
    <row r="406" spans="1:41">
      <c r="A406" s="237"/>
      <c r="B406" s="238"/>
      <c r="C406" s="238"/>
      <c r="D406" s="238"/>
      <c r="E406" s="238"/>
      <c r="F406" s="238"/>
      <c r="G406" s="238"/>
      <c r="H406" s="238"/>
      <c r="Q406" s="265">
        <f t="shared" si="83"/>
        <v>0</v>
      </c>
    </row>
    <row r="407" spans="1:41">
      <c r="A407" s="242"/>
      <c r="B407" s="243" t="s">
        <v>689</v>
      </c>
      <c r="C407" s="243"/>
      <c r="D407" s="243"/>
      <c r="E407" s="243"/>
      <c r="F407" s="243"/>
      <c r="G407" s="243"/>
      <c r="H407" s="244"/>
      <c r="Q407" s="265">
        <f t="shared" si="83"/>
        <v>0</v>
      </c>
    </row>
    <row r="408" spans="1:41">
      <c r="A408" s="242"/>
      <c r="B408" s="243" t="s">
        <v>690</v>
      </c>
      <c r="C408" s="243"/>
      <c r="D408" s="485" t="s">
        <v>691</v>
      </c>
      <c r="E408" s="483"/>
      <c r="F408" s="483"/>
      <c r="G408" s="483"/>
      <c r="H408" s="250" t="s">
        <v>581</v>
      </c>
      <c r="Q408" s="265">
        <f t="shared" si="83"/>
        <v>0</v>
      </c>
    </row>
    <row r="409" spans="1:41" ht="34.5">
      <c r="A409" s="242"/>
      <c r="B409" s="251" t="s">
        <v>692</v>
      </c>
      <c r="C409" s="252" t="s">
        <v>693</v>
      </c>
      <c r="D409" s="253" t="s">
        <v>694</v>
      </c>
      <c r="E409" s="254" t="s">
        <v>8</v>
      </c>
      <c r="F409" s="251" t="s">
        <v>695</v>
      </c>
      <c r="G409" s="255" t="s">
        <v>704</v>
      </c>
      <c r="H409" s="256" t="s">
        <v>697</v>
      </c>
      <c r="Q409" s="265">
        <f t="shared" si="83"/>
        <v>0</v>
      </c>
    </row>
    <row r="410" spans="1:41" ht="15.75" customHeight="1">
      <c r="A410" s="286" t="s">
        <v>666</v>
      </c>
      <c r="B410" s="260">
        <f>('Pivot Table for Data Exchange'!$P$6)*100</f>
        <v>87.051560153512426</v>
      </c>
      <c r="C410" s="260">
        <f>('Pivot Table for Data Exchange'!$P$9)*100</f>
        <v>4.3264761269099665</v>
      </c>
      <c r="D410" s="261">
        <f>SUM(E410:G410)</f>
        <v>8.621963719577602</v>
      </c>
      <c r="E410" s="260">
        <f>('Pivot Table for Data Exchange'!$P$12)*100</f>
        <v>8.621963719577602</v>
      </c>
      <c r="F410" s="260">
        <f>('Pivot Table for Data Exchange'!$P$15)*100</f>
        <v>0</v>
      </c>
      <c r="G410" s="264">
        <f>('Pivot Table for Data Exchange'!$P$18)*100</f>
        <v>0</v>
      </c>
      <c r="H410" s="260">
        <f>('Pivot Table for Data Exchange'!$P$21)*100</f>
        <v>0</v>
      </c>
      <c r="I410" s="231"/>
      <c r="J410" s="299"/>
      <c r="K410" s="299"/>
      <c r="L410" s="299"/>
      <c r="M410" s="299"/>
      <c r="N410" s="299"/>
      <c r="O410" s="299"/>
      <c r="P410" s="299"/>
      <c r="Q410" s="265">
        <f t="shared" si="83"/>
        <v>100</v>
      </c>
      <c r="R410" s="265"/>
      <c r="S410" s="266"/>
      <c r="T410" s="266"/>
      <c r="U410" s="266"/>
      <c r="V410" s="266"/>
      <c r="W410" s="266"/>
      <c r="X410" s="266"/>
      <c r="Y410" s="266"/>
      <c r="Z410" s="266"/>
      <c r="AA410" s="266"/>
      <c r="AB410" s="266"/>
      <c r="AC410" s="266"/>
      <c r="AD410" s="266"/>
      <c r="AE410" s="266"/>
      <c r="AF410" s="266"/>
      <c r="AG410" s="266"/>
      <c r="AH410" s="266"/>
      <c r="AI410" s="266"/>
      <c r="AJ410" s="266"/>
      <c r="AK410" s="266"/>
      <c r="AL410" s="266"/>
      <c r="AM410" s="266"/>
      <c r="AN410" s="266"/>
      <c r="AO410" s="266"/>
    </row>
    <row r="411" spans="1:41" ht="15.75" customHeight="1">
      <c r="A411" s="231" t="s">
        <v>667</v>
      </c>
      <c r="B411" s="260">
        <f>('Pivot Table for Data Exchange'!$P$42)*100</f>
        <v>0</v>
      </c>
      <c r="C411" s="260">
        <f>('Pivot Table for Data Exchange'!$P$45)*100</f>
        <v>0</v>
      </c>
      <c r="D411" s="261">
        <f t="shared" ref="D411:D413" si="85">SUM(E411:G411)</f>
        <v>0</v>
      </c>
      <c r="E411" s="260">
        <f>('Pivot Table for Data Exchange'!$P$48)*100</f>
        <v>0</v>
      </c>
      <c r="F411" s="260">
        <f>('Pivot Table for Data Exchange'!$P$51)*100</f>
        <v>0</v>
      </c>
      <c r="G411" s="268">
        <f>('Pivot Table for Data Exchange'!$P$54)*100</f>
        <v>0</v>
      </c>
      <c r="H411" s="260">
        <f>('Pivot Table for Data Exchange'!$P$57)*100</f>
        <v>0</v>
      </c>
      <c r="I411" s="231"/>
      <c r="J411" s="299"/>
      <c r="K411" s="299"/>
      <c r="L411" s="299"/>
      <c r="M411" s="299"/>
      <c r="N411" s="299"/>
      <c r="O411" s="299"/>
      <c r="P411" s="299"/>
      <c r="Q411" s="265">
        <f t="shared" si="83"/>
        <v>0</v>
      </c>
      <c r="R411" s="265"/>
      <c r="S411" s="266"/>
      <c r="T411" s="266"/>
      <c r="U411" s="266"/>
      <c r="V411" s="266"/>
      <c r="W411" s="266"/>
      <c r="X411" s="266"/>
      <c r="Y411" s="266"/>
      <c r="Z411" s="266"/>
      <c r="AA411" s="266"/>
      <c r="AB411" s="266"/>
      <c r="AC411" s="266"/>
      <c r="AD411" s="266"/>
      <c r="AE411" s="266"/>
      <c r="AF411" s="266"/>
      <c r="AG411" s="266"/>
      <c r="AH411" s="266"/>
      <c r="AI411" s="266"/>
      <c r="AJ411" s="266"/>
      <c r="AK411" s="266"/>
      <c r="AL411" s="266"/>
      <c r="AM411" s="266"/>
      <c r="AN411" s="266"/>
      <c r="AO411" s="266"/>
    </row>
    <row r="412" spans="1:41" ht="15.75" customHeight="1">
      <c r="A412" s="231" t="s">
        <v>668</v>
      </c>
      <c r="B412" s="260">
        <f>('Pivot Table for Data Exchange'!$P$78)*100</f>
        <v>0</v>
      </c>
      <c r="C412" s="260">
        <f>('Pivot Table for Data Exchange'!$P$81)*100</f>
        <v>0</v>
      </c>
      <c r="D412" s="261">
        <f t="shared" si="85"/>
        <v>0</v>
      </c>
      <c r="E412" s="260">
        <f>('Pivot Table for Data Exchange'!$P$84)*100</f>
        <v>0</v>
      </c>
      <c r="F412" s="260">
        <f>('Pivot Table for Data Exchange'!$P$87)*100</f>
        <v>0</v>
      </c>
      <c r="G412" s="268">
        <f>('Pivot Table for Data Exchange'!$P$90)*100</f>
        <v>0</v>
      </c>
      <c r="H412" s="260">
        <f>('Pivot Table for Data Exchange'!$P$93)*100</f>
        <v>0</v>
      </c>
      <c r="I412" s="231"/>
      <c r="J412" s="299"/>
      <c r="K412" s="299"/>
      <c r="L412" s="299"/>
      <c r="M412" s="299"/>
      <c r="N412" s="299"/>
      <c r="O412" s="299"/>
      <c r="P412" s="299"/>
      <c r="Q412" s="265">
        <f t="shared" si="83"/>
        <v>0</v>
      </c>
      <c r="R412" s="265"/>
      <c r="S412" s="266"/>
      <c r="T412" s="240"/>
      <c r="U412" s="266"/>
      <c r="V412" s="266"/>
      <c r="W412" s="266"/>
      <c r="X412" s="266"/>
      <c r="Y412" s="266"/>
      <c r="Z412" s="266"/>
      <c r="AA412" s="266"/>
      <c r="AB412" s="266"/>
      <c r="AC412" s="266"/>
      <c r="AD412" s="266"/>
      <c r="AE412" s="266"/>
      <c r="AF412" s="266"/>
      <c r="AG412" s="266"/>
      <c r="AH412" s="266"/>
      <c r="AI412" s="266"/>
      <c r="AJ412" s="266"/>
      <c r="AK412" s="266"/>
      <c r="AL412" s="266"/>
      <c r="AM412" s="266"/>
      <c r="AN412" s="266"/>
      <c r="AO412" s="266"/>
    </row>
    <row r="413" spans="1:41" ht="15.75" customHeight="1">
      <c r="A413" s="231" t="s">
        <v>669</v>
      </c>
      <c r="B413" s="260">
        <f>('Pivot Table for Data Exchange'!$P$114)*100</f>
        <v>0</v>
      </c>
      <c r="C413" s="260">
        <f>('Pivot Table for Data Exchange'!$P$117)*100</f>
        <v>0</v>
      </c>
      <c r="D413" s="261">
        <f t="shared" si="85"/>
        <v>0</v>
      </c>
      <c r="E413" s="260">
        <f>('Pivot Table for Data Exchange'!$P$120)*100</f>
        <v>0</v>
      </c>
      <c r="F413" s="260">
        <f>('Pivot Table for Data Exchange'!$P$123)*100</f>
        <v>0</v>
      </c>
      <c r="G413" s="268">
        <f>('Pivot Table for Data Exchange'!$P$126)*100</f>
        <v>0</v>
      </c>
      <c r="H413" s="260">
        <f>('Pivot Table for Data Exchange'!$P$129)*100</f>
        <v>0</v>
      </c>
      <c r="I413" s="231"/>
      <c r="J413" s="299"/>
      <c r="K413" s="299"/>
      <c r="L413" s="299"/>
      <c r="M413" s="299"/>
      <c r="N413" s="299"/>
      <c r="O413" s="299"/>
      <c r="P413" s="299"/>
      <c r="Q413" s="265">
        <f t="shared" si="83"/>
        <v>0</v>
      </c>
      <c r="R413" s="265"/>
      <c r="S413" s="266"/>
      <c r="U413" s="266"/>
      <c r="V413" s="266"/>
      <c r="W413" s="266"/>
      <c r="X413" s="266"/>
      <c r="Y413" s="266"/>
      <c r="Z413" s="266"/>
      <c r="AA413" s="266"/>
      <c r="AB413" s="266"/>
      <c r="AC413" s="266"/>
      <c r="AD413" s="266"/>
      <c r="AE413" s="266"/>
      <c r="AF413" s="266"/>
      <c r="AG413" s="266"/>
      <c r="AH413" s="266"/>
      <c r="AI413" s="266"/>
      <c r="AJ413" s="266"/>
      <c r="AK413" s="266"/>
      <c r="AL413" s="266"/>
      <c r="AM413" s="266"/>
      <c r="AN413" s="266"/>
      <c r="AO413" s="266"/>
    </row>
    <row r="414" spans="1:41" ht="15.75" customHeight="1">
      <c r="B414" s="260"/>
      <c r="C414" s="260"/>
      <c r="D414" s="261"/>
      <c r="E414" s="260"/>
      <c r="F414" s="260"/>
      <c r="G414" s="268"/>
      <c r="H414" s="260"/>
      <c r="I414" s="231"/>
      <c r="J414" s="299"/>
      <c r="K414" s="299"/>
      <c r="L414" s="299"/>
      <c r="M414" s="299"/>
      <c r="N414" s="299"/>
      <c r="O414" s="299"/>
      <c r="P414" s="299"/>
      <c r="Q414" s="265">
        <f t="shared" si="83"/>
        <v>0</v>
      </c>
      <c r="R414" s="265"/>
      <c r="S414" s="266"/>
      <c r="U414" s="266"/>
      <c r="V414" s="266"/>
      <c r="W414" s="266"/>
      <c r="X414" s="266"/>
      <c r="Y414" s="266"/>
      <c r="Z414" s="266"/>
      <c r="AA414" s="266"/>
      <c r="AB414" s="266"/>
      <c r="AC414" s="266"/>
      <c r="AD414" s="266"/>
      <c r="AE414" s="266"/>
      <c r="AF414" s="266"/>
      <c r="AG414" s="266"/>
      <c r="AH414" s="266"/>
      <c r="AI414" s="266"/>
      <c r="AJ414" s="266"/>
      <c r="AK414" s="266"/>
      <c r="AL414" s="266"/>
      <c r="AM414" s="266"/>
      <c r="AN414" s="266"/>
      <c r="AO414" s="266"/>
    </row>
    <row r="415" spans="1:41" ht="15.75" customHeight="1">
      <c r="A415" s="231" t="s">
        <v>670</v>
      </c>
      <c r="B415" s="260">
        <f>('Pivot Table for Data Exchange'!$P$150)*100</f>
        <v>63.456766317035587</v>
      </c>
      <c r="C415" s="260">
        <f>('Pivot Table for Data Exchange'!$P$153)*100</f>
        <v>0</v>
      </c>
      <c r="D415" s="261">
        <f t="shared" ref="D415:D418" si="86">SUM(E415:G415)</f>
        <v>36.54323368296442</v>
      </c>
      <c r="E415" s="260">
        <f>('Pivot Table for Data Exchange'!$P$156)*100</f>
        <v>35.971390503270385</v>
      </c>
      <c r="F415" s="260">
        <f>('Pivot Table for Data Exchange'!$P$159)*100</f>
        <v>0.5718431796940332</v>
      </c>
      <c r="G415" s="268">
        <f>('Pivot Table for Data Exchange'!$P$162)*100</f>
        <v>0</v>
      </c>
      <c r="H415" s="260">
        <f>('Pivot Table for Data Exchange'!$P$165)*100</f>
        <v>0</v>
      </c>
      <c r="I415" s="231"/>
      <c r="J415" s="299"/>
      <c r="K415" s="299"/>
      <c r="L415" s="299"/>
      <c r="M415" s="299"/>
      <c r="N415" s="299"/>
      <c r="O415" s="299"/>
      <c r="P415" s="299"/>
      <c r="Q415" s="265">
        <f t="shared" si="83"/>
        <v>100</v>
      </c>
      <c r="R415" s="265"/>
      <c r="S415" s="266"/>
      <c r="T415" s="266"/>
      <c r="U415" s="266"/>
      <c r="V415" s="266"/>
      <c r="W415" s="266"/>
      <c r="X415" s="266"/>
      <c r="Y415" s="266"/>
      <c r="Z415" s="266"/>
      <c r="AA415" s="266"/>
      <c r="AB415" s="266"/>
      <c r="AC415" s="266"/>
      <c r="AD415" s="266"/>
      <c r="AE415" s="266"/>
      <c r="AF415" s="266"/>
      <c r="AG415" s="266"/>
      <c r="AH415" s="266"/>
      <c r="AI415" s="266"/>
      <c r="AJ415" s="266"/>
      <c r="AK415" s="266"/>
      <c r="AL415" s="266"/>
      <c r="AM415" s="266"/>
      <c r="AN415" s="266"/>
      <c r="AO415" s="266"/>
    </row>
    <row r="416" spans="1:41" ht="15.75" customHeight="1">
      <c r="A416" s="231" t="s">
        <v>671</v>
      </c>
      <c r="B416" s="260">
        <f>('Pivot Table for Data Exchange'!$P$186)*100</f>
        <v>63.362474243303254</v>
      </c>
      <c r="C416" s="260">
        <f>('Pivot Table for Data Exchange'!$P$189)*100</f>
        <v>5.219357032828535</v>
      </c>
      <c r="D416" s="261">
        <f t="shared" si="86"/>
        <v>31.418168723868206</v>
      </c>
      <c r="E416" s="260">
        <f>('Pivot Table for Data Exchange'!$P$192)*100</f>
        <v>31.418168723868206</v>
      </c>
      <c r="F416" s="260">
        <f>('Pivot Table for Data Exchange'!$P$195)*100</f>
        <v>0</v>
      </c>
      <c r="G416" s="268">
        <f>('Pivot Table for Data Exchange'!$P$198)*100</f>
        <v>0</v>
      </c>
      <c r="H416" s="260">
        <f>('Pivot Table for Data Exchange'!$P$201)*100</f>
        <v>0</v>
      </c>
      <c r="I416" s="231"/>
      <c r="J416" s="299"/>
      <c r="K416" s="299"/>
      <c r="L416" s="299"/>
      <c r="M416" s="299"/>
      <c r="N416" s="299"/>
      <c r="O416" s="299"/>
      <c r="P416" s="299"/>
      <c r="Q416" s="265">
        <f t="shared" si="83"/>
        <v>100</v>
      </c>
      <c r="R416" s="265"/>
      <c r="S416" s="266"/>
      <c r="T416" s="266"/>
      <c r="U416" s="266"/>
      <c r="V416" s="266"/>
      <c r="W416" s="266"/>
      <c r="X416" s="266"/>
      <c r="Y416" s="266"/>
      <c r="Z416" s="266"/>
      <c r="AA416" s="266"/>
      <c r="AB416" s="266"/>
      <c r="AC416" s="266"/>
      <c r="AD416" s="266"/>
      <c r="AE416" s="266"/>
      <c r="AF416" s="266"/>
      <c r="AG416" s="266"/>
      <c r="AH416" s="266"/>
      <c r="AI416" s="266"/>
      <c r="AJ416" s="266"/>
      <c r="AK416" s="266"/>
      <c r="AL416" s="266"/>
      <c r="AM416" s="266"/>
      <c r="AN416" s="266"/>
      <c r="AO416" s="266"/>
    </row>
    <row r="417" spans="1:41" ht="15.75" customHeight="1">
      <c r="A417" s="231" t="s">
        <v>672</v>
      </c>
      <c r="B417" s="260">
        <f>('Pivot Table for Data Exchange'!$P$222)*100</f>
        <v>79.290092679830849</v>
      </c>
      <c r="C417" s="260">
        <f>('Pivot Table for Data Exchange'!$P$225)*100</f>
        <v>0</v>
      </c>
      <c r="D417" s="261">
        <f t="shared" si="86"/>
        <v>20.709907320169165</v>
      </c>
      <c r="E417" s="260">
        <f>('Pivot Table for Data Exchange'!$P$228)*100</f>
        <v>20.709907320169165</v>
      </c>
      <c r="F417" s="260">
        <f>('Pivot Table for Data Exchange'!$P$231)*100</f>
        <v>0</v>
      </c>
      <c r="G417" s="268">
        <f>('Pivot Table for Data Exchange'!$P$234)*100</f>
        <v>0</v>
      </c>
      <c r="H417" s="260">
        <f>('Pivot Table for Data Exchange'!$P$237)*100</f>
        <v>0</v>
      </c>
      <c r="I417" s="306"/>
      <c r="J417" s="299"/>
      <c r="K417" s="299"/>
      <c r="L417" s="299"/>
      <c r="M417" s="299"/>
      <c r="N417" s="299"/>
      <c r="O417" s="299"/>
      <c r="P417" s="299"/>
      <c r="Q417" s="265">
        <f>SUM(I417,C417,D417,H417)</f>
        <v>20.709907320169165</v>
      </c>
      <c r="R417" s="265"/>
      <c r="S417" s="266"/>
      <c r="T417" s="240"/>
      <c r="U417" s="266"/>
      <c r="V417" s="266"/>
      <c r="W417" s="266"/>
      <c r="X417" s="266"/>
      <c r="Y417" s="266"/>
      <c r="Z417" s="266"/>
      <c r="AA417" s="266"/>
      <c r="AB417" s="266"/>
      <c r="AC417" s="266"/>
      <c r="AD417" s="266"/>
      <c r="AE417" s="266"/>
      <c r="AF417" s="266"/>
      <c r="AG417" s="266"/>
      <c r="AH417" s="266"/>
      <c r="AI417" s="266"/>
      <c r="AJ417" s="266"/>
      <c r="AK417" s="266"/>
      <c r="AL417" s="266"/>
      <c r="AM417" s="266"/>
      <c r="AN417" s="266"/>
      <c r="AO417" s="266"/>
    </row>
    <row r="418" spans="1:41" ht="15.75" customHeight="1">
      <c r="A418" s="231" t="s">
        <v>673</v>
      </c>
      <c r="B418" s="260">
        <f>('Pivot Table for Data Exchange'!$P$258)*100</f>
        <v>0</v>
      </c>
      <c r="C418" s="260">
        <f>('Pivot Table for Data Exchange'!$P$261)*100</f>
        <v>0</v>
      </c>
      <c r="D418" s="261">
        <f t="shared" si="86"/>
        <v>0</v>
      </c>
      <c r="E418" s="260">
        <f>('Pivot Table for Data Exchange'!$P$264)*100</f>
        <v>0</v>
      </c>
      <c r="F418" s="260">
        <f>('Pivot Table for Data Exchange'!$P$267)*100</f>
        <v>0</v>
      </c>
      <c r="G418" s="268">
        <f>('Pivot Table for Data Exchange'!$P$270)*100</f>
        <v>0</v>
      </c>
      <c r="H418" s="260">
        <f>('Pivot Table for Data Exchange'!$P$273)*100</f>
        <v>0</v>
      </c>
      <c r="I418" s="231"/>
      <c r="J418" s="299"/>
      <c r="K418" s="299"/>
      <c r="L418" s="299"/>
      <c r="M418" s="299"/>
      <c r="N418" s="299"/>
      <c r="O418" s="299"/>
      <c r="P418" s="299"/>
      <c r="Q418" s="265">
        <f t="shared" si="83"/>
        <v>0</v>
      </c>
      <c r="R418" s="265"/>
      <c r="S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row>
    <row r="419" spans="1:41" ht="15.75" customHeight="1">
      <c r="B419" s="260"/>
      <c r="C419" s="260"/>
      <c r="D419" s="261"/>
      <c r="E419" s="260"/>
      <c r="F419" s="260"/>
      <c r="G419" s="268"/>
      <c r="H419" s="260"/>
      <c r="I419" s="231"/>
      <c r="J419" s="299"/>
      <c r="K419" s="299"/>
      <c r="L419" s="299"/>
      <c r="M419" s="299"/>
      <c r="N419" s="299"/>
      <c r="O419" s="299"/>
      <c r="P419" s="299"/>
      <c r="Q419" s="265">
        <f t="shared" si="83"/>
        <v>0</v>
      </c>
      <c r="R419" s="265"/>
      <c r="S419" s="266"/>
      <c r="U419" s="266"/>
      <c r="V419" s="266"/>
      <c r="W419" s="266"/>
      <c r="X419" s="266"/>
      <c r="Y419" s="266"/>
      <c r="Z419" s="266"/>
      <c r="AA419" s="266"/>
      <c r="AB419" s="266"/>
      <c r="AC419" s="266"/>
      <c r="AD419" s="266"/>
      <c r="AE419" s="266"/>
      <c r="AF419" s="266"/>
      <c r="AG419" s="266"/>
      <c r="AH419" s="266"/>
      <c r="AI419" s="266"/>
      <c r="AJ419" s="266"/>
      <c r="AK419" s="266"/>
      <c r="AL419" s="266"/>
      <c r="AM419" s="266"/>
      <c r="AN419" s="266"/>
      <c r="AO419" s="266"/>
    </row>
    <row r="420" spans="1:41" ht="15.75" customHeight="1">
      <c r="A420" s="231" t="s">
        <v>674</v>
      </c>
      <c r="B420" s="260">
        <f>('Pivot Table for Data Exchange'!$P$294)*100</f>
        <v>0</v>
      </c>
      <c r="C420" s="260">
        <f>('Pivot Table for Data Exchange'!$P$297)*100</f>
        <v>0</v>
      </c>
      <c r="D420" s="261">
        <f t="shared" ref="D420:D422" si="87">SUM(E420:G420)</f>
        <v>0</v>
      </c>
      <c r="E420" s="260">
        <f>('Pivot Table for Data Exchange'!$P$300)*100</f>
        <v>0</v>
      </c>
      <c r="F420" s="260">
        <f>('Pivot Table for Data Exchange'!$P$303)*100</f>
        <v>0</v>
      </c>
      <c r="G420" s="268">
        <f>('Pivot Table for Data Exchange'!$P$306)*100</f>
        <v>0</v>
      </c>
      <c r="H420" s="260">
        <f>('Pivot Table for Data Exchange'!$P$309)*100</f>
        <v>0</v>
      </c>
      <c r="I420" s="231"/>
      <c r="J420" s="299"/>
      <c r="K420" s="299"/>
      <c r="L420" s="299"/>
      <c r="M420" s="299"/>
      <c r="N420" s="299"/>
      <c r="O420" s="299"/>
      <c r="P420" s="299"/>
      <c r="Q420" s="265">
        <f t="shared" si="83"/>
        <v>0</v>
      </c>
      <c r="R420" s="265"/>
      <c r="S420" s="266"/>
      <c r="T420" s="266"/>
      <c r="U420" s="266"/>
      <c r="V420" s="266"/>
      <c r="W420" s="266"/>
      <c r="X420" s="266"/>
      <c r="Y420" s="266"/>
      <c r="Z420" s="266"/>
      <c r="AA420" s="266"/>
      <c r="AB420" s="266"/>
      <c r="AC420" s="266"/>
      <c r="AD420" s="266"/>
      <c r="AE420" s="266"/>
      <c r="AF420" s="266"/>
      <c r="AG420" s="266"/>
      <c r="AH420" s="266"/>
      <c r="AI420" s="266"/>
      <c r="AJ420" s="266"/>
      <c r="AK420" s="266"/>
      <c r="AL420" s="266"/>
      <c r="AM420" s="266"/>
      <c r="AN420" s="266"/>
      <c r="AO420" s="266"/>
    </row>
    <row r="421" spans="1:41" ht="15.75" customHeight="1">
      <c r="A421" s="231" t="s">
        <v>675</v>
      </c>
      <c r="B421" s="260">
        <f>('Pivot Table for Data Exchange'!$P$330)*100</f>
        <v>0</v>
      </c>
      <c r="C421" s="260">
        <f>('Pivot Table for Data Exchange'!$P$333)*100</f>
        <v>0</v>
      </c>
      <c r="D421" s="261">
        <f t="shared" si="87"/>
        <v>0</v>
      </c>
      <c r="E421" s="260">
        <f>('Pivot Table for Data Exchange'!$P$336)*100</f>
        <v>0</v>
      </c>
      <c r="F421" s="260">
        <f>('Pivot Table for Data Exchange'!$P$339)*100</f>
        <v>0</v>
      </c>
      <c r="G421" s="268">
        <f>('Pivot Table for Data Exchange'!$P$342)*100</f>
        <v>0</v>
      </c>
      <c r="H421" s="260">
        <f>('Pivot Table for Data Exchange'!$P$345)*100</f>
        <v>0</v>
      </c>
      <c r="I421" s="231"/>
      <c r="J421" s="299"/>
      <c r="K421" s="299"/>
      <c r="L421" s="299"/>
      <c r="M421" s="299"/>
      <c r="N421" s="299"/>
      <c r="O421" s="299"/>
      <c r="P421" s="299"/>
      <c r="Q421" s="265">
        <f t="shared" si="83"/>
        <v>0</v>
      </c>
      <c r="R421" s="265"/>
      <c r="S421" s="266"/>
      <c r="T421" s="266"/>
      <c r="U421" s="266"/>
      <c r="V421" s="266"/>
      <c r="W421" s="266"/>
      <c r="X421" s="266"/>
      <c r="Y421" s="266"/>
      <c r="Z421" s="266"/>
      <c r="AA421" s="266"/>
      <c r="AB421" s="266"/>
      <c r="AC421" s="266"/>
      <c r="AD421" s="266"/>
      <c r="AE421" s="266"/>
      <c r="AF421" s="266"/>
      <c r="AG421" s="266"/>
      <c r="AH421" s="266"/>
      <c r="AI421" s="266"/>
      <c r="AJ421" s="266"/>
      <c r="AK421" s="266"/>
      <c r="AL421" s="266"/>
      <c r="AM421" s="266"/>
      <c r="AN421" s="266"/>
      <c r="AO421" s="266"/>
    </row>
    <row r="422" spans="1:41" ht="15.75" customHeight="1">
      <c r="A422" s="231" t="s">
        <v>676</v>
      </c>
      <c r="B422" s="260">
        <f>('Pivot Table for Data Exchange'!$P$366)*100</f>
        <v>0</v>
      </c>
      <c r="C422" s="260">
        <f>('Pivot Table for Data Exchange'!$P$369)*100</f>
        <v>0</v>
      </c>
      <c r="D422" s="261">
        <f t="shared" si="87"/>
        <v>0</v>
      </c>
      <c r="E422" s="260">
        <f>('Pivot Table for Data Exchange'!$P$372)*100</f>
        <v>0</v>
      </c>
      <c r="F422" s="260">
        <f>('Pivot Table for Data Exchange'!$P$375)*100</f>
        <v>0</v>
      </c>
      <c r="G422" s="268">
        <f>('Pivot Table for Data Exchange'!$P$378)*100</f>
        <v>0</v>
      </c>
      <c r="H422" s="260">
        <f>('Pivot Table for Data Exchange'!$P$381)*100</f>
        <v>0</v>
      </c>
      <c r="I422" s="231"/>
      <c r="J422" s="299"/>
      <c r="K422" s="299"/>
      <c r="L422" s="299"/>
      <c r="M422" s="299"/>
      <c r="N422" s="299"/>
      <c r="O422" s="299"/>
      <c r="P422" s="299"/>
      <c r="Q422" s="265">
        <f t="shared" si="83"/>
        <v>0</v>
      </c>
      <c r="R422" s="265"/>
      <c r="S422" s="266"/>
      <c r="T422" s="240"/>
      <c r="U422" s="266"/>
      <c r="V422" s="266"/>
      <c r="W422" s="266"/>
      <c r="X422" s="266"/>
      <c r="Y422" s="266"/>
      <c r="Z422" s="266"/>
      <c r="AA422" s="266"/>
      <c r="AB422" s="266"/>
      <c r="AC422" s="266"/>
      <c r="AD422" s="266"/>
      <c r="AE422" s="266"/>
      <c r="AF422" s="266"/>
      <c r="AG422" s="266"/>
      <c r="AH422" s="266"/>
      <c r="AI422" s="266"/>
      <c r="AJ422" s="266"/>
      <c r="AK422" s="266"/>
      <c r="AL422" s="266"/>
      <c r="AM422" s="266"/>
      <c r="AN422" s="266"/>
      <c r="AO422" s="266"/>
    </row>
    <row r="423" spans="1:41" ht="15.75" customHeight="1">
      <c r="A423" s="231" t="s">
        <v>677</v>
      </c>
      <c r="B423" s="260">
        <f>('Pivot Table for Data Exchange'!$P$402)*100</f>
        <v>0</v>
      </c>
      <c r="C423" s="260">
        <f>('Pivot Table for Data Exchange'!$P$405)*100</f>
        <v>0</v>
      </c>
      <c r="D423" s="261">
        <f>SUM(E423:G423)</f>
        <v>0</v>
      </c>
      <c r="E423" s="260">
        <f>('Pivot Table for Data Exchange'!$P$408)*100</f>
        <v>0</v>
      </c>
      <c r="F423" s="260">
        <f>('Pivot Table for Data Exchange'!$P$411)*100</f>
        <v>0</v>
      </c>
      <c r="G423" s="268">
        <f>('Pivot Table for Data Exchange'!$P$414)*100</f>
        <v>0</v>
      </c>
      <c r="H423" s="260">
        <f>('Pivot Table for Data Exchange'!$P$417)*100</f>
        <v>0</v>
      </c>
      <c r="I423" s="231"/>
      <c r="J423" s="299"/>
      <c r="K423" s="299"/>
      <c r="L423" s="299"/>
      <c r="M423" s="299"/>
      <c r="N423" s="299"/>
      <c r="O423" s="299"/>
      <c r="P423" s="299"/>
      <c r="Q423" s="265">
        <f t="shared" si="83"/>
        <v>0</v>
      </c>
      <c r="R423" s="265"/>
      <c r="S423" s="266"/>
      <c r="T423" s="266"/>
      <c r="U423" s="266"/>
      <c r="V423" s="266"/>
      <c r="W423" s="266"/>
      <c r="X423" s="266"/>
      <c r="Y423" s="266"/>
      <c r="Z423" s="266"/>
      <c r="AA423" s="266"/>
      <c r="AB423" s="266"/>
      <c r="AC423" s="266"/>
      <c r="AD423" s="266"/>
      <c r="AE423" s="266"/>
      <c r="AF423" s="266"/>
      <c r="AG423" s="266"/>
      <c r="AH423" s="266"/>
      <c r="AI423" s="266"/>
      <c r="AJ423" s="266"/>
      <c r="AK423" s="266"/>
      <c r="AL423" s="266"/>
      <c r="AM423" s="266"/>
      <c r="AN423" s="266"/>
      <c r="AO423" s="266"/>
    </row>
    <row r="424" spans="1:41" ht="15.75" customHeight="1">
      <c r="B424" s="260"/>
      <c r="C424" s="260"/>
      <c r="D424" s="261"/>
      <c r="E424" s="260"/>
      <c r="F424" s="260"/>
      <c r="G424" s="268"/>
      <c r="H424" s="260"/>
      <c r="I424" s="231"/>
      <c r="J424" s="299"/>
      <c r="K424" s="299"/>
      <c r="L424" s="299"/>
      <c r="M424" s="299"/>
      <c r="N424" s="299"/>
      <c r="O424" s="299"/>
      <c r="P424" s="299"/>
      <c r="Q424" s="265">
        <f t="shared" si="83"/>
        <v>0</v>
      </c>
      <c r="R424" s="265"/>
      <c r="S424" s="266"/>
      <c r="T424" s="266"/>
      <c r="U424" s="266"/>
      <c r="V424" s="266"/>
      <c r="W424" s="266"/>
      <c r="X424" s="266"/>
      <c r="Y424" s="266"/>
      <c r="Z424" s="266"/>
      <c r="AA424" s="266"/>
      <c r="AB424" s="266"/>
      <c r="AC424" s="266"/>
      <c r="AD424" s="266"/>
      <c r="AE424" s="266"/>
      <c r="AF424" s="266"/>
      <c r="AG424" s="266"/>
      <c r="AH424" s="266"/>
      <c r="AI424" s="266"/>
      <c r="AJ424" s="266"/>
      <c r="AK424" s="266"/>
      <c r="AL424" s="266"/>
      <c r="AM424" s="266"/>
      <c r="AN424" s="266"/>
      <c r="AO424" s="266"/>
    </row>
    <row r="425" spans="1:41" ht="15.75" customHeight="1">
      <c r="A425" s="231" t="s">
        <v>678</v>
      </c>
      <c r="B425" s="260">
        <f>('Pivot Table for Data Exchange'!$P$438)*100</f>
        <v>0</v>
      </c>
      <c r="C425" s="260">
        <f>('Pivot Table for Data Exchange'!$P$441)*100</f>
        <v>0</v>
      </c>
      <c r="D425" s="261">
        <f>SUM(E425:G425)</f>
        <v>0</v>
      </c>
      <c r="E425" s="260">
        <f>('Pivot Table for Data Exchange'!$P$444)*100</f>
        <v>0</v>
      </c>
      <c r="F425" s="260">
        <f>('Pivot Table for Data Exchange'!$P$447)*100</f>
        <v>0</v>
      </c>
      <c r="G425" s="268">
        <f>('Pivot Table for Data Exchange'!$P$450)*100</f>
        <v>0</v>
      </c>
      <c r="H425" s="260">
        <f>('Pivot Table for Data Exchange'!$P$453)*100</f>
        <v>0</v>
      </c>
      <c r="I425" s="231"/>
      <c r="J425" s="299"/>
      <c r="K425" s="299"/>
      <c r="L425" s="299"/>
      <c r="M425" s="299"/>
      <c r="N425" s="299"/>
      <c r="O425" s="299"/>
      <c r="P425" s="299"/>
      <c r="Q425" s="265">
        <f t="shared" si="83"/>
        <v>0</v>
      </c>
      <c r="R425" s="265"/>
      <c r="S425" s="266"/>
      <c r="T425" s="266"/>
      <c r="U425" s="266"/>
      <c r="V425" s="266"/>
      <c r="W425" s="266"/>
      <c r="X425" s="266"/>
      <c r="Y425" s="266"/>
      <c r="Z425" s="266"/>
      <c r="AA425" s="266"/>
      <c r="AB425" s="266"/>
      <c r="AC425" s="266"/>
      <c r="AD425" s="266"/>
      <c r="AE425" s="266"/>
      <c r="AF425" s="266"/>
      <c r="AG425" s="266"/>
      <c r="AH425" s="266"/>
      <c r="AI425" s="266"/>
      <c r="AJ425" s="266"/>
      <c r="AK425" s="266"/>
      <c r="AL425" s="266"/>
      <c r="AM425" s="266"/>
      <c r="AN425" s="266"/>
      <c r="AO425" s="266"/>
    </row>
    <row r="426" spans="1:41" ht="15.75" customHeight="1">
      <c r="A426" s="231" t="s">
        <v>679</v>
      </c>
      <c r="B426" s="260">
        <f>('Pivot Table for Data Exchange'!$P$474)*100</f>
        <v>0</v>
      </c>
      <c r="C426" s="260">
        <f>('Pivot Table for Data Exchange'!$P$477)*100</f>
        <v>0</v>
      </c>
      <c r="D426" s="261">
        <f>SUM(E426:G426)</f>
        <v>0</v>
      </c>
      <c r="E426" s="260">
        <f>('Pivot Table for Data Exchange'!$P$480)*100</f>
        <v>0</v>
      </c>
      <c r="F426" s="260">
        <f>('Pivot Table for Data Exchange'!$P$483)*100</f>
        <v>0</v>
      </c>
      <c r="G426" s="268">
        <f>('Pivot Table for Data Exchange'!$P$486)*100</f>
        <v>0</v>
      </c>
      <c r="H426" s="260">
        <f>('Pivot Table for Data Exchange'!$P$489)*100</f>
        <v>0</v>
      </c>
      <c r="I426" s="231"/>
      <c r="J426" s="299"/>
      <c r="K426" s="299"/>
      <c r="L426" s="299"/>
      <c r="M426" s="299"/>
      <c r="N426" s="299"/>
      <c r="O426" s="299"/>
      <c r="P426" s="299"/>
      <c r="Q426" s="265">
        <f t="shared" si="83"/>
        <v>0</v>
      </c>
      <c r="R426" s="265"/>
      <c r="S426" s="266"/>
      <c r="T426" s="266"/>
      <c r="U426" s="266"/>
      <c r="V426" s="266"/>
      <c r="W426" s="266"/>
      <c r="X426" s="266"/>
      <c r="Y426" s="266"/>
      <c r="Z426" s="266"/>
      <c r="AA426" s="266"/>
      <c r="AB426" s="266"/>
      <c r="AC426" s="266"/>
      <c r="AD426" s="266"/>
      <c r="AE426" s="266"/>
      <c r="AF426" s="266"/>
      <c r="AG426" s="266"/>
      <c r="AH426" s="266"/>
      <c r="AI426" s="266"/>
      <c r="AJ426" s="266"/>
      <c r="AK426" s="266"/>
      <c r="AL426" s="266"/>
      <c r="AM426" s="266"/>
      <c r="AN426" s="266"/>
      <c r="AO426" s="266"/>
    </row>
    <row r="427" spans="1:41" ht="15.75" customHeight="1">
      <c r="A427" s="231" t="s">
        <v>680</v>
      </c>
      <c r="B427" s="260">
        <f>('Pivot Table for Data Exchange'!$P$510)*100</f>
        <v>0</v>
      </c>
      <c r="C427" s="260">
        <f>('Pivot Table for Data Exchange'!$P$513)*100</f>
        <v>0</v>
      </c>
      <c r="D427" s="261">
        <f t="shared" ref="D427" si="88">SUM(E427:G427)</f>
        <v>0</v>
      </c>
      <c r="E427" s="260">
        <f>('Pivot Table for Data Exchange'!$P$516)*100</f>
        <v>0</v>
      </c>
      <c r="F427" s="260">
        <f>('Pivot Table for Data Exchange'!$P$519)*100</f>
        <v>0</v>
      </c>
      <c r="G427" s="268">
        <f>('Pivot Table for Data Exchange'!$P$522)*100</f>
        <v>0</v>
      </c>
      <c r="H427" s="260">
        <f>('Pivot Table for Data Exchange'!$P$525)*100</f>
        <v>0</v>
      </c>
      <c r="I427" s="231"/>
      <c r="J427" s="299"/>
      <c r="K427" s="299"/>
      <c r="L427" s="299"/>
      <c r="M427" s="299"/>
      <c r="N427" s="299"/>
      <c r="O427" s="299"/>
      <c r="P427" s="299"/>
      <c r="Q427" s="265">
        <f t="shared" si="83"/>
        <v>0</v>
      </c>
      <c r="R427" s="265"/>
      <c r="S427" s="266"/>
      <c r="T427" s="266"/>
      <c r="U427" s="266"/>
      <c r="V427" s="266"/>
      <c r="W427" s="266"/>
      <c r="X427" s="266"/>
      <c r="Y427" s="266"/>
      <c r="Z427" s="266"/>
      <c r="AA427" s="266"/>
      <c r="AB427" s="266"/>
      <c r="AC427" s="266"/>
      <c r="AD427" s="266"/>
      <c r="AE427" s="266"/>
      <c r="AF427" s="266"/>
      <c r="AG427" s="266"/>
      <c r="AH427" s="266"/>
      <c r="AI427" s="266"/>
      <c r="AJ427" s="266"/>
      <c r="AK427" s="266"/>
      <c r="AL427" s="266"/>
      <c r="AM427" s="266"/>
      <c r="AN427" s="266"/>
      <c r="AO427" s="266"/>
    </row>
    <row r="428" spans="1:41" ht="15.75" customHeight="1">
      <c r="A428" s="237" t="s">
        <v>681</v>
      </c>
      <c r="B428" s="273">
        <f>('Pivot Table for Data Exchange'!$P$546)*100</f>
        <v>0</v>
      </c>
      <c r="C428" s="273">
        <f>('Pivot Table for Data Exchange'!$P$549)*100</f>
        <v>0</v>
      </c>
      <c r="D428" s="274">
        <f>SUM(E428:G428)</f>
        <v>0</v>
      </c>
      <c r="E428" s="273">
        <f>('Pivot Table for Data Exchange'!$P$552)*100</f>
        <v>0</v>
      </c>
      <c r="F428" s="273">
        <f>('Pivot Table for Data Exchange'!$P$555)*100</f>
        <v>0</v>
      </c>
      <c r="G428" s="275">
        <f>('Pivot Table for Data Exchange'!$P$558)*100</f>
        <v>0</v>
      </c>
      <c r="H428" s="273">
        <f>('Pivot Table for Data Exchange'!$P$561)*100</f>
        <v>0</v>
      </c>
      <c r="I428" s="231"/>
      <c r="J428" s="299"/>
      <c r="K428" s="299"/>
      <c r="L428" s="299"/>
      <c r="M428" s="299"/>
      <c r="N428" s="299"/>
      <c r="O428" s="299"/>
      <c r="P428" s="299"/>
      <c r="Q428" s="265">
        <f t="shared" si="83"/>
        <v>0</v>
      </c>
      <c r="R428" s="265"/>
      <c r="S428" s="266"/>
      <c r="T428" s="266"/>
      <c r="U428" s="266"/>
      <c r="V428" s="266"/>
      <c r="W428" s="266"/>
      <c r="X428" s="266"/>
      <c r="Y428" s="266"/>
      <c r="Z428" s="266"/>
      <c r="AA428" s="266"/>
      <c r="AB428" s="266"/>
      <c r="AC428" s="266"/>
      <c r="AD428" s="266"/>
      <c r="AE428" s="266"/>
      <c r="AF428" s="266"/>
      <c r="AG428" s="266"/>
      <c r="AH428" s="266"/>
      <c r="AI428" s="266"/>
      <c r="AJ428" s="266"/>
      <c r="AK428" s="266"/>
      <c r="AL428" s="266"/>
      <c r="AM428" s="266"/>
      <c r="AN428" s="266"/>
      <c r="AO428" s="266"/>
    </row>
    <row r="429" spans="1:41" s="278" customFormat="1" ht="12" customHeight="1">
      <c r="A429" s="279" t="s">
        <v>706</v>
      </c>
      <c r="B429" s="280"/>
      <c r="C429" s="280"/>
      <c r="D429" s="281"/>
      <c r="E429" s="280"/>
      <c r="F429" s="281"/>
      <c r="G429" s="281"/>
      <c r="H429" s="280"/>
      <c r="I429" s="289"/>
      <c r="J429" s="280"/>
      <c r="K429" s="280"/>
      <c r="L429" s="281"/>
      <c r="M429" s="280"/>
      <c r="N429" s="281"/>
      <c r="O429" s="281"/>
      <c r="P429" s="280"/>
      <c r="Q429" s="265">
        <f t="shared" si="83"/>
        <v>0</v>
      </c>
      <c r="R429" s="300"/>
      <c r="S429" s="282"/>
      <c r="T429" s="282"/>
      <c r="U429" s="282"/>
      <c r="V429" s="282"/>
      <c r="W429" s="282"/>
      <c r="X429" s="282"/>
      <c r="Y429" s="282"/>
      <c r="Z429" s="282"/>
      <c r="AA429" s="282"/>
      <c r="AB429" s="282"/>
      <c r="AC429" s="282"/>
      <c r="AD429" s="282"/>
      <c r="AE429" s="282"/>
      <c r="AF429" s="282"/>
      <c r="AG429" s="282"/>
      <c r="AH429" s="282"/>
      <c r="AI429" s="282"/>
      <c r="AJ429" s="282"/>
      <c r="AK429" s="282"/>
      <c r="AL429" s="282"/>
      <c r="AM429" s="282"/>
      <c r="AN429" s="282"/>
      <c r="AO429" s="282"/>
    </row>
    <row r="430" spans="1:41" s="278" customFormat="1" ht="13.5" customHeight="1">
      <c r="A430" s="289"/>
      <c r="B430" s="290"/>
      <c r="I430" s="289"/>
      <c r="P430" s="291"/>
      <c r="Q430" s="265">
        <f t="shared" si="83"/>
        <v>0</v>
      </c>
      <c r="R430" s="301"/>
    </row>
    <row r="431" spans="1:41" s="278" customFormat="1" ht="13.5" customHeight="1">
      <c r="A431" s="289"/>
      <c r="H431" s="284" t="s">
        <v>839</v>
      </c>
      <c r="I431" s="289"/>
      <c r="Q431" s="265">
        <f t="shared" si="83"/>
        <v>0</v>
      </c>
      <c r="R431" s="301"/>
    </row>
    <row r="432" spans="1:41" ht="18">
      <c r="A432" s="226" t="s">
        <v>729</v>
      </c>
      <c r="B432" s="227"/>
      <c r="C432" s="227"/>
      <c r="D432" s="227"/>
      <c r="E432" s="227"/>
      <c r="F432" s="227"/>
      <c r="G432" s="227"/>
      <c r="H432" s="227"/>
      <c r="Q432" s="265">
        <f t="shared" si="83"/>
        <v>0</v>
      </c>
    </row>
    <row r="433" spans="1:41" ht="13">
      <c r="A433" s="232"/>
      <c r="B433" s="228"/>
      <c r="C433" s="228"/>
      <c r="D433" s="228"/>
      <c r="E433" s="228"/>
      <c r="F433" s="228"/>
      <c r="G433" s="228"/>
      <c r="H433" s="228"/>
      <c r="Q433" s="265">
        <f t="shared" si="83"/>
        <v>0</v>
      </c>
    </row>
    <row r="434" spans="1:41" ht="15.5">
      <c r="A434" s="234" t="s">
        <v>687</v>
      </c>
      <c r="B434" s="228"/>
      <c r="C434" s="228"/>
      <c r="D434" s="228"/>
      <c r="E434" s="228"/>
      <c r="F434" s="228"/>
      <c r="G434" s="228"/>
      <c r="H434" s="228"/>
      <c r="Q434" s="265">
        <f t="shared" si="83"/>
        <v>0</v>
      </c>
    </row>
    <row r="435" spans="1:41" ht="15.5">
      <c r="A435" s="234" t="s">
        <v>778</v>
      </c>
      <c r="B435" s="228"/>
      <c r="C435" s="228"/>
      <c r="D435" s="228"/>
      <c r="E435" s="228"/>
      <c r="F435" s="228"/>
      <c r="G435" s="228"/>
      <c r="H435" s="228"/>
      <c r="Q435" s="265">
        <f t="shared" si="83"/>
        <v>0</v>
      </c>
    </row>
    <row r="436" spans="1:41">
      <c r="A436" s="237"/>
      <c r="B436" s="238"/>
      <c r="C436" s="238"/>
      <c r="D436" s="238"/>
      <c r="E436" s="238"/>
      <c r="F436" s="238"/>
      <c r="G436" s="238"/>
      <c r="H436" s="238"/>
      <c r="Q436" s="265">
        <f t="shared" si="83"/>
        <v>0</v>
      </c>
    </row>
    <row r="437" spans="1:41">
      <c r="A437" s="242"/>
      <c r="B437" s="243" t="s">
        <v>689</v>
      </c>
      <c r="C437" s="243"/>
      <c r="D437" s="243"/>
      <c r="E437" s="243"/>
      <c r="F437" s="243"/>
      <c r="G437" s="243"/>
      <c r="H437" s="244"/>
      <c r="Q437" s="265">
        <f t="shared" si="83"/>
        <v>0</v>
      </c>
    </row>
    <row r="438" spans="1:41">
      <c r="A438" s="242"/>
      <c r="B438" s="243" t="s">
        <v>690</v>
      </c>
      <c r="C438" s="243"/>
      <c r="D438" s="485" t="s">
        <v>691</v>
      </c>
      <c r="E438" s="483"/>
      <c r="F438" s="483"/>
      <c r="G438" s="483"/>
      <c r="H438" s="250" t="s">
        <v>581</v>
      </c>
      <c r="Q438" s="265">
        <f t="shared" si="83"/>
        <v>0</v>
      </c>
    </row>
    <row r="439" spans="1:41" ht="34.5">
      <c r="A439" s="242"/>
      <c r="B439" s="251" t="s">
        <v>692</v>
      </c>
      <c r="C439" s="252" t="s">
        <v>693</v>
      </c>
      <c r="D439" s="253" t="s">
        <v>694</v>
      </c>
      <c r="E439" s="254" t="s">
        <v>8</v>
      </c>
      <c r="F439" s="251" t="s">
        <v>695</v>
      </c>
      <c r="G439" s="255" t="s">
        <v>704</v>
      </c>
      <c r="H439" s="256" t="s">
        <v>697</v>
      </c>
      <c r="Q439" s="265">
        <f t="shared" si="83"/>
        <v>0</v>
      </c>
    </row>
    <row r="440" spans="1:41" ht="15.75" customHeight="1">
      <c r="A440" s="286" t="s">
        <v>666</v>
      </c>
      <c r="B440" s="260">
        <f>('Pivot Table for Data Exchange'!$Q$6)*100</f>
        <v>81.565391469934809</v>
      </c>
      <c r="C440" s="260">
        <f>('Pivot Table for Data Exchange'!$Q$9)*100</f>
        <v>5.1243866116549883</v>
      </c>
      <c r="D440" s="261">
        <f>SUM(E440:G440)</f>
        <v>13.310221918410194</v>
      </c>
      <c r="E440" s="260">
        <f>('Pivot Table for Data Exchange'!$Q$12)*100</f>
        <v>13.310221918410194</v>
      </c>
      <c r="F440" s="260">
        <f>('Pivot Table for Data Exchange'!$Q$15)*100</f>
        <v>0</v>
      </c>
      <c r="G440" s="264">
        <f>('Pivot Table for Data Exchange'!$Q$18)*100</f>
        <v>0</v>
      </c>
      <c r="H440" s="260">
        <f>('Pivot Table for Data Exchange'!$Q$21)*100</f>
        <v>0</v>
      </c>
      <c r="I440" s="231"/>
      <c r="J440" s="299"/>
      <c r="K440" s="299"/>
      <c r="L440" s="299"/>
      <c r="M440" s="299"/>
      <c r="N440" s="299"/>
      <c r="O440" s="299"/>
      <c r="P440" s="299"/>
      <c r="Q440" s="265">
        <f t="shared" si="83"/>
        <v>99.999999999999986</v>
      </c>
      <c r="R440" s="265"/>
      <c r="S440" s="266"/>
      <c r="T440" s="266"/>
      <c r="U440" s="266"/>
      <c r="V440" s="266"/>
      <c r="W440" s="266"/>
      <c r="X440" s="266"/>
      <c r="Y440" s="266"/>
      <c r="Z440" s="266"/>
      <c r="AA440" s="266"/>
      <c r="AB440" s="266"/>
      <c r="AC440" s="266"/>
      <c r="AD440" s="266"/>
      <c r="AE440" s="266"/>
      <c r="AF440" s="266"/>
      <c r="AG440" s="266"/>
      <c r="AH440" s="266"/>
      <c r="AI440" s="266"/>
      <c r="AJ440" s="266"/>
      <c r="AK440" s="266"/>
      <c r="AL440" s="266"/>
      <c r="AM440" s="266"/>
      <c r="AN440" s="266"/>
      <c r="AO440" s="266"/>
    </row>
    <row r="441" spans="1:41" ht="15.75" customHeight="1">
      <c r="A441" s="231" t="s">
        <v>667</v>
      </c>
      <c r="B441" s="260">
        <f>('Pivot Table for Data Exchange'!$Q$42)*100</f>
        <v>0</v>
      </c>
      <c r="C441" s="260">
        <f>('Pivot Table for Data Exchange'!$Q$45)*100</f>
        <v>0</v>
      </c>
      <c r="D441" s="261">
        <f t="shared" ref="D441:D443" si="89">SUM(E441:G441)</f>
        <v>0</v>
      </c>
      <c r="E441" s="260">
        <f>('Pivot Table for Data Exchange'!$Q$48)*100</f>
        <v>0</v>
      </c>
      <c r="F441" s="260">
        <f>('Pivot Table for Data Exchange'!$Q$51)*100</f>
        <v>0</v>
      </c>
      <c r="G441" s="268">
        <f>('Pivot Table for Data Exchange'!$Q$54)*100</f>
        <v>0</v>
      </c>
      <c r="H441" s="260">
        <f>('Pivot Table for Data Exchange'!$Q$57)*100</f>
        <v>0</v>
      </c>
      <c r="I441" s="231"/>
      <c r="J441" s="299"/>
      <c r="K441" s="299"/>
      <c r="L441" s="299"/>
      <c r="M441" s="299"/>
      <c r="N441" s="299"/>
      <c r="O441" s="299"/>
      <c r="P441" s="299"/>
      <c r="Q441" s="265">
        <f t="shared" si="83"/>
        <v>0</v>
      </c>
      <c r="R441" s="265"/>
      <c r="S441" s="266"/>
      <c r="T441" s="266"/>
      <c r="U441" s="266"/>
      <c r="V441" s="266"/>
      <c r="W441" s="266"/>
      <c r="X441" s="266"/>
      <c r="Y441" s="266"/>
      <c r="Z441" s="266"/>
      <c r="AA441" s="266"/>
      <c r="AB441" s="266"/>
      <c r="AC441" s="266"/>
      <c r="AD441" s="266"/>
      <c r="AE441" s="266"/>
      <c r="AF441" s="266"/>
      <c r="AG441" s="266"/>
      <c r="AH441" s="266"/>
      <c r="AI441" s="266"/>
      <c r="AJ441" s="266"/>
      <c r="AK441" s="266"/>
      <c r="AL441" s="266"/>
      <c r="AM441" s="266"/>
      <c r="AN441" s="266"/>
      <c r="AO441" s="266"/>
    </row>
    <row r="442" spans="1:41" ht="15.75" customHeight="1">
      <c r="A442" s="231" t="s">
        <v>668</v>
      </c>
      <c r="B442" s="260">
        <f>('Pivot Table for Data Exchange'!$Q$78)*100</f>
        <v>0</v>
      </c>
      <c r="C442" s="260">
        <f>('Pivot Table for Data Exchange'!$Q$81)*100</f>
        <v>0</v>
      </c>
      <c r="D442" s="261">
        <f t="shared" si="89"/>
        <v>0</v>
      </c>
      <c r="E442" s="260">
        <f>('Pivot Table for Data Exchange'!$Q$84)*100</f>
        <v>0</v>
      </c>
      <c r="F442" s="260">
        <f>('Pivot Table for Data Exchange'!$Q$87)*100</f>
        <v>0</v>
      </c>
      <c r="G442" s="268">
        <f>('Pivot Table for Data Exchange'!$Q$90)*100</f>
        <v>0</v>
      </c>
      <c r="H442" s="260">
        <f>('Pivot Table for Data Exchange'!$Q$93)*100</f>
        <v>0</v>
      </c>
      <c r="I442" s="231"/>
      <c r="J442" s="299"/>
      <c r="K442" s="299"/>
      <c r="L442" s="299"/>
      <c r="M442" s="299"/>
      <c r="N442" s="299"/>
      <c r="O442" s="299"/>
      <c r="P442" s="299"/>
      <c r="Q442" s="265">
        <f t="shared" si="83"/>
        <v>0</v>
      </c>
      <c r="R442" s="265"/>
      <c r="S442" s="266"/>
      <c r="T442" s="240"/>
      <c r="U442" s="266"/>
      <c r="V442" s="266"/>
      <c r="W442" s="266"/>
      <c r="X442" s="266"/>
      <c r="Y442" s="266"/>
      <c r="Z442" s="266"/>
      <c r="AA442" s="266"/>
      <c r="AB442" s="266"/>
      <c r="AC442" s="266"/>
      <c r="AD442" s="266"/>
      <c r="AE442" s="266"/>
      <c r="AF442" s="266"/>
      <c r="AG442" s="266"/>
      <c r="AH442" s="266"/>
      <c r="AI442" s="266"/>
      <c r="AJ442" s="266"/>
      <c r="AK442" s="266"/>
      <c r="AL442" s="266"/>
      <c r="AM442" s="266"/>
      <c r="AN442" s="266"/>
      <c r="AO442" s="266"/>
    </row>
    <row r="443" spans="1:41" ht="15.75" customHeight="1">
      <c r="A443" s="231" t="s">
        <v>669</v>
      </c>
      <c r="B443" s="260">
        <f>('Pivot Table for Data Exchange'!$Q$114)*100</f>
        <v>0</v>
      </c>
      <c r="C443" s="260">
        <f>('Pivot Table for Data Exchange'!$Q$117)*100</f>
        <v>0</v>
      </c>
      <c r="D443" s="261">
        <f t="shared" si="89"/>
        <v>0</v>
      </c>
      <c r="E443" s="260">
        <f>('Pivot Table for Data Exchange'!$Q$120)*100</f>
        <v>0</v>
      </c>
      <c r="F443" s="260">
        <f>('Pivot Table for Data Exchange'!$Q$123)*100</f>
        <v>0</v>
      </c>
      <c r="G443" s="268">
        <f>('Pivot Table for Data Exchange'!$Q$126)*100</f>
        <v>0</v>
      </c>
      <c r="H443" s="260">
        <f>('Pivot Table for Data Exchange'!$Q$129)*100</f>
        <v>0</v>
      </c>
      <c r="I443" s="231"/>
      <c r="J443" s="299"/>
      <c r="K443" s="299"/>
      <c r="L443" s="299"/>
      <c r="M443" s="299"/>
      <c r="N443" s="299"/>
      <c r="O443" s="299"/>
      <c r="P443" s="299"/>
      <c r="Q443" s="265">
        <f t="shared" si="83"/>
        <v>0</v>
      </c>
      <c r="R443" s="265"/>
      <c r="S443" s="266"/>
      <c r="U443" s="266"/>
      <c r="V443" s="266"/>
      <c r="W443" s="266"/>
      <c r="X443" s="266"/>
      <c r="Y443" s="266"/>
      <c r="Z443" s="266"/>
      <c r="AA443" s="266"/>
      <c r="AB443" s="266"/>
      <c r="AC443" s="266"/>
      <c r="AD443" s="266"/>
      <c r="AE443" s="266"/>
      <c r="AF443" s="266"/>
      <c r="AG443" s="266"/>
      <c r="AH443" s="266"/>
      <c r="AI443" s="266"/>
      <c r="AJ443" s="266"/>
      <c r="AK443" s="266"/>
      <c r="AL443" s="266"/>
      <c r="AM443" s="266"/>
      <c r="AN443" s="266"/>
      <c r="AO443" s="266"/>
    </row>
    <row r="444" spans="1:41" ht="15.75" customHeight="1">
      <c r="B444" s="260"/>
      <c r="C444" s="260"/>
      <c r="D444" s="261"/>
      <c r="E444" s="260"/>
      <c r="F444" s="260"/>
      <c r="G444" s="268"/>
      <c r="H444" s="260"/>
      <c r="I444" s="231"/>
      <c r="J444" s="299"/>
      <c r="K444" s="299"/>
      <c r="L444" s="299"/>
      <c r="M444" s="299"/>
      <c r="N444" s="299"/>
      <c r="O444" s="299"/>
      <c r="P444" s="299"/>
      <c r="Q444" s="265">
        <f t="shared" si="83"/>
        <v>0</v>
      </c>
      <c r="R444" s="265"/>
      <c r="S444" s="266"/>
      <c r="U444" s="266"/>
      <c r="V444" s="266"/>
      <c r="W444" s="266"/>
      <c r="X444" s="266"/>
      <c r="Y444" s="266"/>
      <c r="Z444" s="266"/>
      <c r="AA444" s="266"/>
      <c r="AB444" s="266"/>
      <c r="AC444" s="266"/>
      <c r="AD444" s="266"/>
      <c r="AE444" s="266"/>
      <c r="AF444" s="266"/>
      <c r="AG444" s="266"/>
      <c r="AH444" s="266"/>
      <c r="AI444" s="266"/>
      <c r="AJ444" s="266"/>
      <c r="AK444" s="266"/>
      <c r="AL444" s="266"/>
      <c r="AM444" s="266"/>
      <c r="AN444" s="266"/>
      <c r="AO444" s="266"/>
    </row>
    <row r="445" spans="1:41" ht="15.75" customHeight="1">
      <c r="A445" s="231" t="s">
        <v>670</v>
      </c>
      <c r="B445" s="260">
        <f>('Pivot Table for Data Exchange'!$Q$150)*100</f>
        <v>0</v>
      </c>
      <c r="C445" s="260">
        <f>('Pivot Table for Data Exchange'!$Q$153)*100</f>
        <v>0</v>
      </c>
      <c r="D445" s="261">
        <f t="shared" ref="D445:D448" si="90">SUM(E445:G445)</f>
        <v>0</v>
      </c>
      <c r="E445" s="260">
        <f>('Pivot Table for Data Exchange'!$Q$156)*100</f>
        <v>0</v>
      </c>
      <c r="F445" s="260">
        <f>('Pivot Table for Data Exchange'!$Q$159)*100</f>
        <v>0</v>
      </c>
      <c r="G445" s="268">
        <f>('Pivot Table for Data Exchange'!$Q$162)*100</f>
        <v>0</v>
      </c>
      <c r="H445" s="260">
        <f>('Pivot Table for Data Exchange'!$Q$165)*100</f>
        <v>0</v>
      </c>
      <c r="I445" s="231"/>
      <c r="J445" s="299"/>
      <c r="K445" s="299"/>
      <c r="L445" s="299"/>
      <c r="M445" s="299"/>
      <c r="N445" s="299"/>
      <c r="O445" s="299"/>
      <c r="P445" s="299"/>
      <c r="Q445" s="265">
        <f t="shared" si="83"/>
        <v>0</v>
      </c>
      <c r="R445" s="265"/>
      <c r="S445" s="266"/>
      <c r="T445" s="266"/>
      <c r="U445" s="266"/>
      <c r="V445" s="266"/>
      <c r="W445" s="266"/>
      <c r="X445" s="266"/>
      <c r="Y445" s="266"/>
      <c r="Z445" s="266"/>
      <c r="AA445" s="266"/>
      <c r="AB445" s="266"/>
      <c r="AC445" s="266"/>
      <c r="AD445" s="266"/>
      <c r="AE445" s="266"/>
      <c r="AF445" s="266"/>
      <c r="AG445" s="266"/>
      <c r="AH445" s="266"/>
      <c r="AI445" s="266"/>
      <c r="AJ445" s="266"/>
      <c r="AK445" s="266"/>
      <c r="AL445" s="266"/>
      <c r="AM445" s="266"/>
      <c r="AN445" s="266"/>
      <c r="AO445" s="266"/>
    </row>
    <row r="446" spans="1:41" ht="15.75" customHeight="1">
      <c r="A446" s="231" t="s">
        <v>671</v>
      </c>
      <c r="B446" s="260">
        <f>('Pivot Table for Data Exchange'!$Q$186)*100</f>
        <v>0</v>
      </c>
      <c r="C446" s="260">
        <f>('Pivot Table for Data Exchange'!$Q$189)*100</f>
        <v>0</v>
      </c>
      <c r="D446" s="261">
        <f t="shared" si="90"/>
        <v>0</v>
      </c>
      <c r="E446" s="260">
        <f>('Pivot Table for Data Exchange'!$Q$192)*100</f>
        <v>0</v>
      </c>
      <c r="F446" s="260">
        <f>('Pivot Table for Data Exchange'!$Q$195)*100</f>
        <v>0</v>
      </c>
      <c r="G446" s="268">
        <f>('Pivot Table for Data Exchange'!$Q$198)*100</f>
        <v>0</v>
      </c>
      <c r="H446" s="260">
        <f>('Pivot Table for Data Exchange'!$Q$201)*100</f>
        <v>0</v>
      </c>
      <c r="I446" s="231"/>
      <c r="J446" s="299"/>
      <c r="K446" s="299"/>
      <c r="L446" s="299"/>
      <c r="M446" s="299"/>
      <c r="N446" s="299"/>
      <c r="O446" s="299"/>
      <c r="P446" s="299"/>
      <c r="Q446" s="265">
        <f t="shared" si="83"/>
        <v>0</v>
      </c>
      <c r="R446" s="265"/>
      <c r="S446" s="266"/>
      <c r="T446" s="266"/>
      <c r="U446" s="266"/>
      <c r="V446" s="266"/>
      <c r="W446" s="266"/>
      <c r="X446" s="266"/>
      <c r="Y446" s="266"/>
      <c r="Z446" s="266"/>
      <c r="AA446" s="266"/>
      <c r="AB446" s="266"/>
      <c r="AC446" s="266"/>
      <c r="AD446" s="266"/>
      <c r="AE446" s="266"/>
      <c r="AF446" s="266"/>
      <c r="AG446" s="266"/>
      <c r="AH446" s="266"/>
      <c r="AI446" s="266"/>
      <c r="AJ446" s="266"/>
      <c r="AK446" s="266"/>
      <c r="AL446" s="266"/>
      <c r="AM446" s="266"/>
      <c r="AN446" s="266"/>
      <c r="AO446" s="266"/>
    </row>
    <row r="447" spans="1:41" ht="15.75" customHeight="1">
      <c r="A447" s="231" t="s">
        <v>672</v>
      </c>
      <c r="B447" s="260">
        <f>('Pivot Table for Data Exchange'!$Q$222)*100</f>
        <v>99.903288201160535</v>
      </c>
      <c r="C447" s="260">
        <f>('Pivot Table for Data Exchange'!$Q$225)*100</f>
        <v>0</v>
      </c>
      <c r="D447" s="261">
        <f t="shared" si="90"/>
        <v>9.6711798839458366E-2</v>
      </c>
      <c r="E447" s="260">
        <f>('Pivot Table for Data Exchange'!$Q$228)*100</f>
        <v>9.6711798839458366E-2</v>
      </c>
      <c r="F447" s="260">
        <f>('Pivot Table for Data Exchange'!$Q$231)*100</f>
        <v>0</v>
      </c>
      <c r="G447" s="268">
        <f>('Pivot Table for Data Exchange'!$Q$234)*100</f>
        <v>0</v>
      </c>
      <c r="H447" s="260">
        <f>('Pivot Table for Data Exchange'!$Q$237)*100</f>
        <v>0</v>
      </c>
      <c r="I447" s="306"/>
      <c r="J447" s="299"/>
      <c r="K447" s="299"/>
      <c r="L447" s="299"/>
      <c r="M447" s="299"/>
      <c r="N447" s="299"/>
      <c r="O447" s="299"/>
      <c r="P447" s="299"/>
      <c r="Q447" s="265">
        <f>SUM(I447,C447,D447,H447)</f>
        <v>9.6711798839458366E-2</v>
      </c>
      <c r="R447" s="265"/>
      <c r="S447" s="266"/>
      <c r="T447" s="240"/>
      <c r="U447" s="266"/>
      <c r="V447" s="266"/>
      <c r="W447" s="266"/>
      <c r="X447" s="266"/>
      <c r="Y447" s="266"/>
      <c r="Z447" s="266"/>
      <c r="AA447" s="266"/>
      <c r="AB447" s="266"/>
      <c r="AC447" s="266"/>
      <c r="AD447" s="266"/>
      <c r="AE447" s="266"/>
      <c r="AF447" s="266"/>
      <c r="AG447" s="266"/>
      <c r="AH447" s="266"/>
      <c r="AI447" s="266"/>
      <c r="AJ447" s="266"/>
      <c r="AK447" s="266"/>
      <c r="AL447" s="266"/>
      <c r="AM447" s="266"/>
      <c r="AN447" s="266"/>
      <c r="AO447" s="266"/>
    </row>
    <row r="448" spans="1:41" ht="15.75" customHeight="1">
      <c r="A448" s="231" t="s">
        <v>673</v>
      </c>
      <c r="B448" s="260">
        <f>('Pivot Table for Data Exchange'!$Q$258)*100</f>
        <v>0</v>
      </c>
      <c r="C448" s="260">
        <f>('Pivot Table for Data Exchange'!$Q$261)*100</f>
        <v>0</v>
      </c>
      <c r="D448" s="261">
        <f t="shared" si="90"/>
        <v>0</v>
      </c>
      <c r="E448" s="260">
        <f>('Pivot Table for Data Exchange'!$Q$264)*100</f>
        <v>0</v>
      </c>
      <c r="F448" s="260">
        <f>('Pivot Table for Data Exchange'!$Q$267)*100</f>
        <v>0</v>
      </c>
      <c r="G448" s="268">
        <f>('Pivot Table for Data Exchange'!$Q$270)*100</f>
        <v>0</v>
      </c>
      <c r="H448" s="260">
        <f>('Pivot Table for Data Exchange'!$Q$273)*100</f>
        <v>0</v>
      </c>
      <c r="I448" s="231"/>
      <c r="J448" s="299"/>
      <c r="K448" s="299"/>
      <c r="L448" s="299"/>
      <c r="M448" s="299"/>
      <c r="N448" s="299"/>
      <c r="O448" s="299"/>
      <c r="P448" s="299"/>
      <c r="Q448" s="265">
        <f t="shared" si="83"/>
        <v>0</v>
      </c>
      <c r="R448" s="265"/>
      <c r="S448" s="266"/>
      <c r="U448" s="266"/>
      <c r="V448" s="266"/>
      <c r="W448" s="266"/>
      <c r="X448" s="266"/>
      <c r="Y448" s="266"/>
      <c r="Z448" s="266"/>
      <c r="AA448" s="266"/>
      <c r="AB448" s="266"/>
      <c r="AC448" s="266"/>
      <c r="AD448" s="266"/>
      <c r="AE448" s="266"/>
      <c r="AF448" s="266"/>
      <c r="AG448" s="266"/>
      <c r="AH448" s="266"/>
      <c r="AI448" s="266"/>
      <c r="AJ448" s="266"/>
      <c r="AK448" s="266"/>
      <c r="AL448" s="266"/>
      <c r="AM448" s="266"/>
      <c r="AN448" s="266"/>
      <c r="AO448" s="266"/>
    </row>
    <row r="449" spans="1:41" ht="15.75" customHeight="1">
      <c r="B449" s="260"/>
      <c r="C449" s="260"/>
      <c r="D449" s="261"/>
      <c r="E449" s="260"/>
      <c r="F449" s="260"/>
      <c r="G449" s="268"/>
      <c r="H449" s="260"/>
      <c r="I449" s="231"/>
      <c r="J449" s="299"/>
      <c r="K449" s="299"/>
      <c r="L449" s="299"/>
      <c r="M449" s="299"/>
      <c r="N449" s="299"/>
      <c r="O449" s="299"/>
      <c r="P449" s="299"/>
      <c r="Q449" s="265">
        <f t="shared" si="83"/>
        <v>0</v>
      </c>
      <c r="R449" s="265"/>
      <c r="S449" s="266"/>
      <c r="U449" s="266"/>
      <c r="V449" s="266"/>
      <c r="W449" s="266"/>
      <c r="X449" s="266"/>
      <c r="Y449" s="266"/>
      <c r="Z449" s="266"/>
      <c r="AA449" s="266"/>
      <c r="AB449" s="266"/>
      <c r="AC449" s="266"/>
      <c r="AD449" s="266"/>
      <c r="AE449" s="266"/>
      <c r="AF449" s="266"/>
      <c r="AG449" s="266"/>
      <c r="AH449" s="266"/>
      <c r="AI449" s="266"/>
      <c r="AJ449" s="266"/>
      <c r="AK449" s="266"/>
      <c r="AL449" s="266"/>
      <c r="AM449" s="266"/>
      <c r="AN449" s="266"/>
      <c r="AO449" s="266"/>
    </row>
    <row r="450" spans="1:41" ht="15.75" customHeight="1">
      <c r="A450" s="231" t="s">
        <v>674</v>
      </c>
      <c r="B450" s="260">
        <f>('Pivot Table for Data Exchange'!$Q$294)*100</f>
        <v>0</v>
      </c>
      <c r="C450" s="260">
        <f>('Pivot Table for Data Exchange'!$Q$297)*100</f>
        <v>0</v>
      </c>
      <c r="D450" s="261">
        <f t="shared" ref="D450:D452" si="91">SUM(E450:G450)</f>
        <v>0</v>
      </c>
      <c r="E450" s="260">
        <f>('Pivot Table for Data Exchange'!$Q$300)*100</f>
        <v>0</v>
      </c>
      <c r="F450" s="260">
        <f>('Pivot Table for Data Exchange'!$Q$303)*100</f>
        <v>0</v>
      </c>
      <c r="G450" s="268">
        <f>('Pivot Table for Data Exchange'!$Q$306)*100</f>
        <v>0</v>
      </c>
      <c r="H450" s="260">
        <f>('Pivot Table for Data Exchange'!$Q$309)*100</f>
        <v>0</v>
      </c>
      <c r="I450" s="231"/>
      <c r="J450" s="299"/>
      <c r="K450" s="299"/>
      <c r="L450" s="299"/>
      <c r="M450" s="299"/>
      <c r="N450" s="299"/>
      <c r="O450" s="299"/>
      <c r="P450" s="299"/>
      <c r="Q450" s="265">
        <f t="shared" si="83"/>
        <v>0</v>
      </c>
      <c r="R450" s="265"/>
      <c r="S450" s="266"/>
      <c r="T450" s="266"/>
      <c r="U450" s="266"/>
      <c r="V450" s="266"/>
      <c r="W450" s="266"/>
      <c r="X450" s="266"/>
      <c r="Y450" s="266"/>
      <c r="Z450" s="266"/>
      <c r="AA450" s="266"/>
      <c r="AB450" s="266"/>
      <c r="AC450" s="266"/>
      <c r="AD450" s="266"/>
      <c r="AE450" s="266"/>
      <c r="AF450" s="266"/>
      <c r="AG450" s="266"/>
      <c r="AH450" s="266"/>
      <c r="AI450" s="266"/>
      <c r="AJ450" s="266"/>
      <c r="AK450" s="266"/>
      <c r="AL450" s="266"/>
      <c r="AM450" s="266"/>
      <c r="AN450" s="266"/>
      <c r="AO450" s="266"/>
    </row>
    <row r="451" spans="1:41" ht="15.75" customHeight="1">
      <c r="A451" s="231" t="s">
        <v>675</v>
      </c>
      <c r="B451" s="260">
        <f>('Pivot Table for Data Exchange'!$Q$330)*100</f>
        <v>0</v>
      </c>
      <c r="C451" s="260">
        <f>('Pivot Table for Data Exchange'!$Q$333)*100</f>
        <v>0</v>
      </c>
      <c r="D451" s="261">
        <f t="shared" si="91"/>
        <v>0</v>
      </c>
      <c r="E451" s="260">
        <f>('Pivot Table for Data Exchange'!$Q$336)*100</f>
        <v>0</v>
      </c>
      <c r="F451" s="260">
        <f>('Pivot Table for Data Exchange'!$Q$339)*100</f>
        <v>0</v>
      </c>
      <c r="G451" s="268">
        <f>('Pivot Table for Data Exchange'!$Q$342)*100</f>
        <v>0</v>
      </c>
      <c r="H451" s="260">
        <f>('Pivot Table for Data Exchange'!$Q$345)*100</f>
        <v>0</v>
      </c>
      <c r="I451" s="231"/>
      <c r="J451" s="299"/>
      <c r="K451" s="299"/>
      <c r="L451" s="299"/>
      <c r="M451" s="299"/>
      <c r="N451" s="299"/>
      <c r="O451" s="299"/>
      <c r="P451" s="299"/>
      <c r="Q451" s="265">
        <f t="shared" si="83"/>
        <v>0</v>
      </c>
      <c r="R451" s="265"/>
      <c r="S451" s="266"/>
      <c r="T451" s="266"/>
      <c r="U451" s="266"/>
      <c r="V451" s="266"/>
      <c r="W451" s="266"/>
      <c r="X451" s="266"/>
      <c r="Y451" s="266"/>
      <c r="Z451" s="266"/>
      <c r="AA451" s="266"/>
      <c r="AB451" s="266"/>
      <c r="AC451" s="266"/>
      <c r="AD451" s="266"/>
      <c r="AE451" s="266"/>
      <c r="AF451" s="266"/>
      <c r="AG451" s="266"/>
      <c r="AH451" s="266"/>
      <c r="AI451" s="266"/>
      <c r="AJ451" s="266"/>
      <c r="AK451" s="266"/>
      <c r="AL451" s="266"/>
      <c r="AM451" s="266"/>
      <c r="AN451" s="266"/>
      <c r="AO451" s="266"/>
    </row>
    <row r="452" spans="1:41" ht="15.75" customHeight="1">
      <c r="A452" s="231" t="s">
        <v>676</v>
      </c>
      <c r="B452" s="260">
        <f>('Pivot Table for Data Exchange'!$Q$366)*100</f>
        <v>0</v>
      </c>
      <c r="C452" s="260">
        <f>('Pivot Table for Data Exchange'!$Q$369)*100</f>
        <v>0</v>
      </c>
      <c r="D452" s="261">
        <f t="shared" si="91"/>
        <v>0</v>
      </c>
      <c r="E452" s="260">
        <f>('Pivot Table for Data Exchange'!$Q$372)*100</f>
        <v>0</v>
      </c>
      <c r="F452" s="260">
        <f>('Pivot Table for Data Exchange'!$Q$375)*100</f>
        <v>0</v>
      </c>
      <c r="G452" s="268">
        <f>('Pivot Table for Data Exchange'!$Q$378)*100</f>
        <v>0</v>
      </c>
      <c r="H452" s="260">
        <f>('Pivot Table for Data Exchange'!$Q$381)*100</f>
        <v>0</v>
      </c>
      <c r="I452" s="231"/>
      <c r="J452" s="299"/>
      <c r="K452" s="299"/>
      <c r="L452" s="299"/>
      <c r="M452" s="299"/>
      <c r="N452" s="299"/>
      <c r="O452" s="299"/>
      <c r="P452" s="299"/>
      <c r="Q452" s="265">
        <f t="shared" si="83"/>
        <v>0</v>
      </c>
      <c r="R452" s="265"/>
      <c r="S452" s="266"/>
      <c r="T452" s="240"/>
      <c r="U452" s="266"/>
      <c r="V452" s="266"/>
      <c r="W452" s="266"/>
      <c r="X452" s="266"/>
      <c r="Y452" s="266"/>
      <c r="Z452" s="266"/>
      <c r="AA452" s="266"/>
      <c r="AB452" s="266"/>
      <c r="AC452" s="266"/>
      <c r="AD452" s="266"/>
      <c r="AE452" s="266"/>
      <c r="AF452" s="266"/>
      <c r="AG452" s="266"/>
      <c r="AH452" s="266"/>
      <c r="AI452" s="266"/>
      <c r="AJ452" s="266"/>
      <c r="AK452" s="266"/>
      <c r="AL452" s="266"/>
      <c r="AM452" s="266"/>
      <c r="AN452" s="266"/>
      <c r="AO452" s="266"/>
    </row>
    <row r="453" spans="1:41" ht="15.75" customHeight="1">
      <c r="A453" s="231" t="s">
        <v>677</v>
      </c>
      <c r="B453" s="260">
        <f>('Pivot Table for Data Exchange'!$Q$402)*100</f>
        <v>0</v>
      </c>
      <c r="C453" s="260">
        <f>('Pivot Table for Data Exchange'!$Q$405)*100</f>
        <v>0</v>
      </c>
      <c r="D453" s="261">
        <f>SUM(E453:G453)</f>
        <v>0</v>
      </c>
      <c r="E453" s="260">
        <f>('Pivot Table for Data Exchange'!$Q$408)*100</f>
        <v>0</v>
      </c>
      <c r="F453" s="260">
        <f>('Pivot Table for Data Exchange'!$Q$411)*100</f>
        <v>0</v>
      </c>
      <c r="G453" s="268">
        <f>('Pivot Table for Data Exchange'!$Q$414)*100</f>
        <v>0</v>
      </c>
      <c r="H453" s="260">
        <f>('Pivot Table for Data Exchange'!$Q$417)*100</f>
        <v>0</v>
      </c>
      <c r="I453" s="231"/>
      <c r="J453" s="299"/>
      <c r="K453" s="299"/>
      <c r="L453" s="299"/>
      <c r="M453" s="299"/>
      <c r="N453" s="299"/>
      <c r="O453" s="299"/>
      <c r="P453" s="299"/>
      <c r="Q453" s="265">
        <f t="shared" si="83"/>
        <v>0</v>
      </c>
      <c r="R453" s="265"/>
      <c r="S453" s="266"/>
      <c r="T453" s="266"/>
      <c r="U453" s="266"/>
      <c r="V453" s="266"/>
      <c r="W453" s="266"/>
      <c r="X453" s="266"/>
      <c r="Y453" s="266"/>
      <c r="Z453" s="266"/>
      <c r="AA453" s="266"/>
      <c r="AB453" s="266"/>
      <c r="AC453" s="266"/>
      <c r="AD453" s="266"/>
      <c r="AE453" s="266"/>
      <c r="AF453" s="266"/>
      <c r="AG453" s="266"/>
      <c r="AH453" s="266"/>
      <c r="AI453" s="266"/>
      <c r="AJ453" s="266"/>
      <c r="AK453" s="266"/>
      <c r="AL453" s="266"/>
      <c r="AM453" s="266"/>
      <c r="AN453" s="266"/>
      <c r="AO453" s="266"/>
    </row>
    <row r="454" spans="1:41" ht="15.75" customHeight="1">
      <c r="B454" s="260"/>
      <c r="C454" s="260"/>
      <c r="D454" s="261"/>
      <c r="E454" s="260"/>
      <c r="F454" s="260"/>
      <c r="G454" s="268"/>
      <c r="H454" s="260"/>
      <c r="I454" s="231"/>
      <c r="J454" s="299"/>
      <c r="K454" s="299"/>
      <c r="L454" s="299"/>
      <c r="M454" s="299"/>
      <c r="N454" s="299"/>
      <c r="O454" s="299"/>
      <c r="P454" s="299"/>
      <c r="Q454" s="265">
        <f t="shared" si="83"/>
        <v>0</v>
      </c>
      <c r="R454" s="265"/>
      <c r="S454" s="266"/>
      <c r="T454" s="266"/>
      <c r="U454" s="266"/>
      <c r="V454" s="266"/>
      <c r="W454" s="266"/>
      <c r="X454" s="266"/>
      <c r="Y454" s="266"/>
      <c r="Z454" s="266"/>
      <c r="AA454" s="266"/>
      <c r="AB454" s="266"/>
      <c r="AC454" s="266"/>
      <c r="AD454" s="266"/>
      <c r="AE454" s="266"/>
      <c r="AF454" s="266"/>
      <c r="AG454" s="266"/>
      <c r="AH454" s="266"/>
      <c r="AI454" s="266"/>
      <c r="AJ454" s="266"/>
      <c r="AK454" s="266"/>
      <c r="AL454" s="266"/>
      <c r="AM454" s="266"/>
      <c r="AN454" s="266"/>
      <c r="AO454" s="266"/>
    </row>
    <row r="455" spans="1:41" ht="15.75" customHeight="1">
      <c r="A455" s="231" t="s">
        <v>678</v>
      </c>
      <c r="B455" s="260">
        <f>('Pivot Table for Data Exchange'!$Q$438)*100</f>
        <v>0</v>
      </c>
      <c r="C455" s="260">
        <f>('Pivot Table for Data Exchange'!$Q$441)*100</f>
        <v>0</v>
      </c>
      <c r="D455" s="261">
        <f>SUM(E455:G455)</f>
        <v>0</v>
      </c>
      <c r="E455" s="260">
        <f>('Pivot Table for Data Exchange'!$Q$444)*100</f>
        <v>0</v>
      </c>
      <c r="F455" s="260">
        <f>('Pivot Table for Data Exchange'!$Q$447)*100</f>
        <v>0</v>
      </c>
      <c r="G455" s="268">
        <f>('Pivot Table for Data Exchange'!$Q$450)*100</f>
        <v>0</v>
      </c>
      <c r="H455" s="260">
        <f>('Pivot Table for Data Exchange'!$Q$453)*100</f>
        <v>0</v>
      </c>
      <c r="I455" s="231"/>
      <c r="J455" s="299"/>
      <c r="K455" s="299"/>
      <c r="L455" s="299"/>
      <c r="M455" s="299"/>
      <c r="N455" s="299"/>
      <c r="O455" s="299"/>
      <c r="P455" s="299"/>
      <c r="Q455" s="265">
        <f t="shared" si="83"/>
        <v>0</v>
      </c>
      <c r="R455" s="265"/>
      <c r="S455" s="266"/>
      <c r="T455" s="266"/>
      <c r="U455" s="266"/>
      <c r="V455" s="266"/>
      <c r="W455" s="266"/>
      <c r="X455" s="266"/>
      <c r="Y455" s="266"/>
      <c r="Z455" s="266"/>
      <c r="AA455" s="266"/>
      <c r="AB455" s="266"/>
      <c r="AC455" s="266"/>
      <c r="AD455" s="266"/>
      <c r="AE455" s="266"/>
      <c r="AF455" s="266"/>
      <c r="AG455" s="266"/>
      <c r="AH455" s="266"/>
      <c r="AI455" s="266"/>
      <c r="AJ455" s="266"/>
      <c r="AK455" s="266"/>
      <c r="AL455" s="266"/>
      <c r="AM455" s="266"/>
      <c r="AN455" s="266"/>
      <c r="AO455" s="266"/>
    </row>
    <row r="456" spans="1:41" ht="15.75" customHeight="1">
      <c r="A456" s="231" t="s">
        <v>679</v>
      </c>
      <c r="B456" s="260">
        <f>('Pivot Table for Data Exchange'!$Q$474)*100</f>
        <v>0</v>
      </c>
      <c r="C456" s="260">
        <f>('Pivot Table for Data Exchange'!$Q$477)*100</f>
        <v>0</v>
      </c>
      <c r="D456" s="261">
        <f>SUM(E456:G456)</f>
        <v>0</v>
      </c>
      <c r="E456" s="260">
        <f>('Pivot Table for Data Exchange'!$Q$480)*100</f>
        <v>0</v>
      </c>
      <c r="F456" s="260">
        <f>('Pivot Table for Data Exchange'!$Q$483)*100</f>
        <v>0</v>
      </c>
      <c r="G456" s="268">
        <f>('Pivot Table for Data Exchange'!$Q$486)*100</f>
        <v>0</v>
      </c>
      <c r="H456" s="260">
        <f>('Pivot Table for Data Exchange'!$Q$489)*100</f>
        <v>0</v>
      </c>
      <c r="I456" s="231"/>
      <c r="J456" s="299"/>
      <c r="K456" s="299"/>
      <c r="L456" s="299"/>
      <c r="M456" s="299"/>
      <c r="N456" s="299"/>
      <c r="O456" s="299"/>
      <c r="P456" s="299"/>
      <c r="Q456" s="265">
        <f t="shared" si="83"/>
        <v>0</v>
      </c>
      <c r="R456" s="265"/>
      <c r="S456" s="266"/>
      <c r="T456" s="266"/>
      <c r="U456" s="266"/>
      <c r="V456" s="266"/>
      <c r="W456" s="266"/>
      <c r="X456" s="266"/>
      <c r="Y456" s="266"/>
      <c r="Z456" s="266"/>
      <c r="AA456" s="266"/>
      <c r="AB456" s="266"/>
      <c r="AC456" s="266"/>
      <c r="AD456" s="266"/>
      <c r="AE456" s="266"/>
      <c r="AF456" s="266"/>
      <c r="AG456" s="266"/>
      <c r="AH456" s="266"/>
      <c r="AI456" s="266"/>
      <c r="AJ456" s="266"/>
      <c r="AK456" s="266"/>
      <c r="AL456" s="266"/>
      <c r="AM456" s="266"/>
      <c r="AN456" s="266"/>
      <c r="AO456" s="266"/>
    </row>
    <row r="457" spans="1:41" ht="15.75" customHeight="1">
      <c r="A457" s="231" t="s">
        <v>680</v>
      </c>
      <c r="B457" s="260">
        <f>('Pivot Table for Data Exchange'!$Q$510)*100</f>
        <v>0</v>
      </c>
      <c r="C457" s="260">
        <f>('Pivot Table for Data Exchange'!$Q$513)*100</f>
        <v>0</v>
      </c>
      <c r="D457" s="261">
        <f t="shared" ref="D457" si="92">SUM(E457:G457)</f>
        <v>0</v>
      </c>
      <c r="E457" s="260">
        <f>('Pivot Table for Data Exchange'!$Q$516)*100</f>
        <v>0</v>
      </c>
      <c r="F457" s="260">
        <f>('Pivot Table for Data Exchange'!$Q$519)*100</f>
        <v>0</v>
      </c>
      <c r="G457" s="268">
        <f>('Pivot Table for Data Exchange'!$Q$522)*100</f>
        <v>0</v>
      </c>
      <c r="H457" s="260">
        <f>('Pivot Table for Data Exchange'!$Q$525)*100</f>
        <v>0</v>
      </c>
      <c r="I457" s="231"/>
      <c r="J457" s="299"/>
      <c r="K457" s="299"/>
      <c r="L457" s="299"/>
      <c r="M457" s="299"/>
      <c r="N457" s="299"/>
      <c r="O457" s="299"/>
      <c r="P457" s="299"/>
      <c r="Q457" s="265">
        <f t="shared" si="83"/>
        <v>0</v>
      </c>
      <c r="R457" s="265"/>
      <c r="S457" s="266"/>
      <c r="T457" s="266"/>
      <c r="U457" s="266"/>
      <c r="V457" s="266"/>
      <c r="W457" s="266"/>
      <c r="X457" s="266"/>
      <c r="Y457" s="266"/>
      <c r="Z457" s="266"/>
      <c r="AA457" s="266"/>
      <c r="AB457" s="266"/>
      <c r="AC457" s="266"/>
      <c r="AD457" s="266"/>
      <c r="AE457" s="266"/>
      <c r="AF457" s="266"/>
      <c r="AG457" s="266"/>
      <c r="AH457" s="266"/>
      <c r="AI457" s="266"/>
      <c r="AJ457" s="266"/>
      <c r="AK457" s="266"/>
      <c r="AL457" s="266"/>
      <c r="AM457" s="266"/>
      <c r="AN457" s="266"/>
      <c r="AO457" s="266"/>
    </row>
    <row r="458" spans="1:41" ht="15.75" customHeight="1">
      <c r="A458" s="237" t="s">
        <v>681</v>
      </c>
      <c r="B458" s="273">
        <f>('Pivot Table for Data Exchange'!$Q$546)*100</f>
        <v>0</v>
      </c>
      <c r="C458" s="273">
        <f>('Pivot Table for Data Exchange'!$Q$549)*100</f>
        <v>0</v>
      </c>
      <c r="D458" s="274">
        <f>SUM(E458:G458)</f>
        <v>0</v>
      </c>
      <c r="E458" s="273">
        <f>('Pivot Table for Data Exchange'!$Q$552)*100</f>
        <v>0</v>
      </c>
      <c r="F458" s="273">
        <f>('Pivot Table for Data Exchange'!$Q$555)*100</f>
        <v>0</v>
      </c>
      <c r="G458" s="275">
        <f>('Pivot Table for Data Exchange'!$Q$558)*100</f>
        <v>0</v>
      </c>
      <c r="H458" s="273">
        <f>('Pivot Table for Data Exchange'!$Q$561)*100</f>
        <v>0</v>
      </c>
      <c r="I458" s="231"/>
      <c r="J458" s="299"/>
      <c r="K458" s="299"/>
      <c r="L458" s="299"/>
      <c r="M458" s="299"/>
      <c r="N458" s="299"/>
      <c r="O458" s="299"/>
      <c r="P458" s="299"/>
      <c r="Q458" s="265">
        <f>SUM(B458,C458,D458,H458)</f>
        <v>0</v>
      </c>
      <c r="R458" s="265"/>
      <c r="S458" s="266"/>
      <c r="T458" s="266"/>
      <c r="U458" s="266"/>
      <c r="V458" s="266"/>
      <c r="W458" s="266"/>
      <c r="X458" s="266"/>
      <c r="Y458" s="266"/>
      <c r="Z458" s="266"/>
      <c r="AA458" s="266"/>
      <c r="AB458" s="266"/>
      <c r="AC458" s="266"/>
      <c r="AD458" s="266"/>
      <c r="AE458" s="266"/>
      <c r="AF458" s="266"/>
      <c r="AG458" s="266"/>
      <c r="AH458" s="266"/>
      <c r="AI458" s="266"/>
      <c r="AJ458" s="266"/>
      <c r="AK458" s="266"/>
      <c r="AL458" s="266"/>
      <c r="AM458" s="266"/>
      <c r="AN458" s="266"/>
      <c r="AO458" s="266"/>
    </row>
    <row r="459" spans="1:41" s="278" customFormat="1" ht="12.75" customHeight="1">
      <c r="A459" s="279" t="s">
        <v>706</v>
      </c>
      <c r="B459" s="280"/>
      <c r="C459" s="280"/>
      <c r="D459" s="281"/>
      <c r="E459" s="280"/>
      <c r="F459" s="281"/>
      <c r="G459" s="281"/>
      <c r="H459" s="280"/>
      <c r="I459" s="289"/>
      <c r="J459" s="280"/>
      <c r="K459" s="280"/>
      <c r="L459" s="281"/>
      <c r="M459" s="280"/>
      <c r="N459" s="281"/>
      <c r="O459" s="281"/>
      <c r="P459" s="280"/>
      <c r="Q459" s="300"/>
      <c r="R459" s="300"/>
      <c r="S459" s="282"/>
      <c r="T459" s="282"/>
      <c r="U459" s="282"/>
      <c r="V459" s="282"/>
      <c r="W459" s="282"/>
      <c r="X459" s="282"/>
      <c r="Y459" s="282"/>
      <c r="Z459" s="282"/>
      <c r="AA459" s="282"/>
      <c r="AB459" s="282"/>
      <c r="AC459" s="282"/>
      <c r="AD459" s="282"/>
      <c r="AE459" s="282"/>
      <c r="AF459" s="282"/>
      <c r="AG459" s="282"/>
      <c r="AH459" s="282"/>
      <c r="AI459" s="282"/>
      <c r="AJ459" s="282"/>
      <c r="AK459" s="282"/>
      <c r="AL459" s="282"/>
      <c r="AM459" s="282"/>
      <c r="AN459" s="282"/>
      <c r="AO459" s="282"/>
    </row>
    <row r="460" spans="1:41" s="278" customFormat="1" ht="13.5" customHeight="1">
      <c r="A460" s="289"/>
      <c r="B460" s="280"/>
      <c r="C460" s="280"/>
      <c r="D460" s="281"/>
      <c r="E460" s="280"/>
      <c r="F460" s="281"/>
      <c r="G460" s="281"/>
      <c r="H460" s="280"/>
      <c r="I460" s="289"/>
      <c r="J460" s="280"/>
      <c r="K460" s="280"/>
      <c r="L460" s="281"/>
      <c r="M460" s="280"/>
      <c r="N460" s="281"/>
      <c r="O460" s="281"/>
      <c r="P460" s="280"/>
      <c r="Q460" s="300"/>
      <c r="R460" s="300"/>
      <c r="S460" s="282"/>
      <c r="T460" s="282"/>
      <c r="U460" s="282"/>
      <c r="V460" s="282"/>
      <c r="W460" s="282"/>
      <c r="X460" s="282"/>
      <c r="Y460" s="282"/>
      <c r="Z460" s="282"/>
      <c r="AA460" s="282"/>
      <c r="AB460" s="282"/>
      <c r="AC460" s="282"/>
      <c r="AD460" s="282"/>
      <c r="AE460" s="282"/>
      <c r="AF460" s="282"/>
      <c r="AG460" s="282"/>
      <c r="AH460" s="282"/>
      <c r="AI460" s="282"/>
      <c r="AJ460" s="282"/>
      <c r="AK460" s="282"/>
      <c r="AL460" s="282"/>
      <c r="AM460" s="282"/>
      <c r="AN460" s="282"/>
      <c r="AO460" s="282"/>
    </row>
    <row r="461" spans="1:41" s="278" customFormat="1" ht="13.5" customHeight="1">
      <c r="A461" s="289"/>
      <c r="B461" s="290"/>
      <c r="H461" s="284" t="s">
        <v>839</v>
      </c>
      <c r="I461" s="289"/>
      <c r="P461" s="291"/>
      <c r="Q461" s="308"/>
      <c r="R461" s="301"/>
    </row>
    <row r="462" spans="1:41" s="278" customFormat="1" ht="13.5" customHeight="1">
      <c r="A462" s="289"/>
      <c r="I462" s="289"/>
      <c r="Q462" s="308"/>
      <c r="R462" s="301"/>
    </row>
    <row r="463" spans="1:41" s="278" customFormat="1" ht="13.5" customHeight="1">
      <c r="A463" s="289"/>
      <c r="I463" s="289"/>
      <c r="Q463" s="308"/>
      <c r="R463" s="301"/>
    </row>
    <row r="465" spans="8:18" s="309" customFormat="1">
      <c r="H465" s="231"/>
      <c r="I465" s="297"/>
      <c r="J465" s="231"/>
      <c r="K465" s="231"/>
      <c r="L465" s="231"/>
      <c r="M465" s="231"/>
      <c r="N465" s="231"/>
      <c r="O465" s="231"/>
      <c r="P465" s="231"/>
      <c r="Q465" s="235"/>
      <c r="R465" s="241"/>
    </row>
    <row r="466" spans="8:18" s="309" customFormat="1">
      <c r="H466" s="231"/>
      <c r="I466" s="297"/>
      <c r="J466" s="231"/>
      <c r="K466" s="231"/>
      <c r="L466" s="231"/>
      <c r="M466" s="231"/>
      <c r="N466" s="231"/>
      <c r="O466" s="231"/>
      <c r="P466" s="231"/>
      <c r="Q466" s="235"/>
      <c r="R466" s="241"/>
    </row>
    <row r="467" spans="8:18" s="309" customFormat="1">
      <c r="H467" s="231"/>
      <c r="I467" s="297"/>
      <c r="J467" s="231"/>
      <c r="K467" s="231"/>
      <c r="L467" s="231"/>
      <c r="M467" s="231"/>
      <c r="N467" s="231"/>
      <c r="O467" s="231"/>
      <c r="P467" s="231"/>
      <c r="Q467" s="235"/>
      <c r="R467" s="241"/>
    </row>
    <row r="468" spans="8:18" s="309" customFormat="1">
      <c r="H468" s="231"/>
      <c r="I468" s="297"/>
      <c r="J468" s="231"/>
      <c r="K468" s="231"/>
      <c r="L468" s="231"/>
      <c r="M468" s="231"/>
      <c r="N468" s="231"/>
      <c r="O468" s="231"/>
      <c r="P468" s="231"/>
      <c r="Q468" s="235"/>
      <c r="R468" s="241"/>
    </row>
    <row r="469" spans="8:18" s="309" customFormat="1">
      <c r="H469" s="231"/>
      <c r="I469" s="297"/>
      <c r="J469" s="231"/>
      <c r="K469" s="231"/>
      <c r="L469" s="231"/>
      <c r="M469" s="231"/>
      <c r="N469" s="231"/>
      <c r="O469" s="231"/>
      <c r="P469" s="231"/>
      <c r="Q469" s="235"/>
      <c r="R469" s="241"/>
    </row>
    <row r="470" spans="8:18" s="309" customFormat="1">
      <c r="H470" s="231"/>
      <c r="I470" s="297"/>
      <c r="J470" s="231"/>
      <c r="K470" s="231"/>
      <c r="L470" s="231"/>
      <c r="M470" s="231"/>
      <c r="N470" s="231"/>
      <c r="O470" s="231"/>
      <c r="P470" s="231"/>
      <c r="Q470" s="235"/>
      <c r="R470" s="241"/>
    </row>
    <row r="471" spans="8:18" s="309" customFormat="1">
      <c r="H471" s="231"/>
      <c r="I471" s="297"/>
      <c r="J471" s="231"/>
      <c r="K471" s="231"/>
      <c r="L471" s="231"/>
      <c r="M471" s="231"/>
      <c r="N471" s="231"/>
      <c r="O471" s="231"/>
      <c r="P471" s="231"/>
      <c r="Q471" s="235"/>
      <c r="R471" s="241"/>
    </row>
    <row r="472" spans="8:18" s="309" customFormat="1">
      <c r="H472" s="231"/>
      <c r="I472" s="297"/>
      <c r="J472" s="231"/>
      <c r="K472" s="231"/>
      <c r="L472" s="231"/>
      <c r="M472" s="231"/>
      <c r="N472" s="231"/>
      <c r="O472" s="231"/>
      <c r="P472" s="231"/>
      <c r="Q472" s="235"/>
      <c r="R472" s="241"/>
    </row>
    <row r="473" spans="8:18" s="309" customFormat="1">
      <c r="H473" s="231"/>
      <c r="I473" s="297"/>
      <c r="J473" s="231"/>
      <c r="K473" s="231"/>
      <c r="L473" s="231"/>
      <c r="M473" s="231"/>
      <c r="N473" s="231"/>
      <c r="O473" s="231"/>
      <c r="P473" s="231"/>
      <c r="Q473" s="235"/>
      <c r="R473" s="241"/>
    </row>
    <row r="474" spans="8:18" s="309" customFormat="1">
      <c r="H474" s="231"/>
      <c r="I474" s="297"/>
      <c r="J474" s="231"/>
      <c r="K474" s="231"/>
      <c r="L474" s="231"/>
      <c r="M474" s="231"/>
      <c r="N474" s="231"/>
      <c r="O474" s="231"/>
      <c r="P474" s="231"/>
      <c r="Q474" s="235"/>
      <c r="R474" s="241"/>
    </row>
    <row r="475" spans="8:18" s="309" customFormat="1">
      <c r="H475" s="231"/>
      <c r="I475" s="297"/>
      <c r="J475" s="231"/>
      <c r="K475" s="231"/>
      <c r="L475" s="231"/>
      <c r="M475" s="231"/>
      <c r="N475" s="231"/>
      <c r="O475" s="231"/>
      <c r="P475" s="231"/>
      <c r="Q475" s="235"/>
      <c r="R475" s="241"/>
    </row>
    <row r="476" spans="8:18" s="309" customFormat="1">
      <c r="H476" s="231"/>
      <c r="I476" s="297"/>
      <c r="J476" s="231"/>
      <c r="K476" s="231"/>
      <c r="L476" s="231"/>
      <c r="M476" s="231"/>
      <c r="N476" s="231"/>
      <c r="O476" s="231"/>
      <c r="P476" s="231"/>
      <c r="Q476" s="235"/>
      <c r="R476" s="241"/>
    </row>
    <row r="477" spans="8:18" s="309" customFormat="1">
      <c r="H477" s="231"/>
      <c r="I477" s="297"/>
      <c r="J477" s="231"/>
      <c r="K477" s="231"/>
      <c r="L477" s="231"/>
      <c r="M477" s="231"/>
      <c r="N477" s="231"/>
      <c r="O477" s="231"/>
      <c r="P477" s="231"/>
      <c r="Q477" s="235"/>
      <c r="R477" s="241"/>
    </row>
    <row r="478" spans="8:18" s="309" customFormat="1">
      <c r="H478" s="231"/>
      <c r="I478" s="297"/>
      <c r="J478" s="231"/>
      <c r="K478" s="231"/>
      <c r="L478" s="231"/>
      <c r="M478" s="231"/>
      <c r="N478" s="231"/>
      <c r="O478" s="231"/>
      <c r="P478" s="231"/>
      <c r="Q478" s="235"/>
      <c r="R478" s="241"/>
    </row>
    <row r="479" spans="8:18" s="309" customFormat="1">
      <c r="H479" s="231"/>
      <c r="I479" s="297"/>
      <c r="J479" s="231"/>
      <c r="K479" s="231"/>
      <c r="L479" s="231"/>
      <c r="M479" s="231"/>
      <c r="N479" s="231"/>
      <c r="O479" s="231"/>
      <c r="P479" s="231"/>
      <c r="Q479" s="235"/>
      <c r="R479" s="241"/>
    </row>
    <row r="480" spans="8:18" s="309" customFormat="1">
      <c r="H480" s="231"/>
      <c r="I480" s="297"/>
      <c r="J480" s="231"/>
      <c r="K480" s="231"/>
      <c r="L480" s="231"/>
      <c r="M480" s="231"/>
      <c r="N480" s="231"/>
      <c r="O480" s="231"/>
      <c r="P480" s="231"/>
      <c r="Q480" s="235"/>
      <c r="R480" s="241"/>
    </row>
    <row r="481" spans="8:18" s="309" customFormat="1">
      <c r="H481" s="231"/>
      <c r="I481" s="297"/>
      <c r="J481" s="231"/>
      <c r="K481" s="231"/>
      <c r="L481" s="231"/>
      <c r="M481" s="231"/>
      <c r="N481" s="231"/>
      <c r="O481" s="231"/>
      <c r="P481" s="231"/>
      <c r="Q481" s="235"/>
      <c r="R481" s="241"/>
    </row>
    <row r="482" spans="8:18" s="309" customFormat="1">
      <c r="H482" s="231"/>
      <c r="I482" s="297"/>
      <c r="J482" s="231"/>
      <c r="K482" s="231"/>
      <c r="L482" s="231"/>
      <c r="M482" s="231"/>
      <c r="N482" s="231"/>
      <c r="O482" s="231"/>
      <c r="P482" s="231"/>
      <c r="Q482" s="235"/>
      <c r="R482" s="241"/>
    </row>
    <row r="483" spans="8:18" s="309" customFormat="1">
      <c r="H483" s="231"/>
      <c r="I483" s="297"/>
      <c r="J483" s="231"/>
      <c r="K483" s="231"/>
      <c r="L483" s="231"/>
      <c r="M483" s="231"/>
      <c r="N483" s="231"/>
      <c r="O483" s="231"/>
      <c r="P483" s="231"/>
      <c r="Q483" s="235"/>
      <c r="R483" s="241"/>
    </row>
    <row r="484" spans="8:18" s="309" customFormat="1">
      <c r="H484" s="231"/>
      <c r="I484" s="297"/>
      <c r="J484" s="231"/>
      <c r="K484" s="231"/>
      <c r="L484" s="231"/>
      <c r="M484" s="231"/>
      <c r="N484" s="231"/>
      <c r="O484" s="231"/>
      <c r="P484" s="231"/>
      <c r="Q484" s="235"/>
      <c r="R484" s="241"/>
    </row>
    <row r="485" spans="8:18" s="309" customFormat="1">
      <c r="H485" s="231"/>
      <c r="I485" s="297"/>
      <c r="J485" s="231"/>
      <c r="K485" s="231"/>
      <c r="L485" s="231"/>
      <c r="M485" s="231"/>
      <c r="N485" s="231"/>
      <c r="O485" s="231"/>
      <c r="P485" s="231"/>
      <c r="Q485" s="235"/>
      <c r="R485" s="241"/>
    </row>
    <row r="486" spans="8:18" s="309" customFormat="1">
      <c r="H486" s="231"/>
      <c r="I486" s="297"/>
      <c r="J486" s="231"/>
      <c r="K486" s="231"/>
      <c r="L486" s="231"/>
      <c r="M486" s="231"/>
      <c r="N486" s="231"/>
      <c r="O486" s="231"/>
      <c r="P486" s="231"/>
      <c r="Q486" s="235"/>
      <c r="R486" s="241"/>
    </row>
    <row r="487" spans="8:18" s="309" customFormat="1">
      <c r="H487" s="231"/>
      <c r="I487" s="297"/>
      <c r="J487" s="231"/>
      <c r="K487" s="231"/>
      <c r="L487" s="231"/>
      <c r="M487" s="231"/>
      <c r="N487" s="231"/>
      <c r="O487" s="231"/>
      <c r="P487" s="231"/>
      <c r="Q487" s="235"/>
      <c r="R487" s="241"/>
    </row>
    <row r="488" spans="8:18" s="309" customFormat="1">
      <c r="H488" s="231"/>
      <c r="I488" s="297"/>
      <c r="J488" s="231"/>
      <c r="K488" s="231"/>
      <c r="L488" s="231"/>
      <c r="M488" s="231"/>
      <c r="N488" s="231"/>
      <c r="O488" s="231"/>
      <c r="P488" s="231"/>
      <c r="Q488" s="235"/>
      <c r="R488" s="241"/>
    </row>
    <row r="489" spans="8:18" s="309" customFormat="1">
      <c r="H489" s="231"/>
      <c r="I489" s="297"/>
      <c r="J489" s="231"/>
      <c r="K489" s="231"/>
      <c r="L489" s="231"/>
      <c r="M489" s="231"/>
      <c r="N489" s="231"/>
      <c r="O489" s="231"/>
      <c r="P489" s="231"/>
      <c r="Q489" s="235"/>
      <c r="R489" s="241"/>
    </row>
    <row r="490" spans="8:18" s="309" customFormat="1">
      <c r="H490" s="231"/>
      <c r="I490" s="297"/>
      <c r="J490" s="231"/>
      <c r="K490" s="231"/>
      <c r="L490" s="231"/>
      <c r="M490" s="231"/>
      <c r="N490" s="231"/>
      <c r="O490" s="231"/>
      <c r="P490" s="231"/>
      <c r="Q490" s="235"/>
      <c r="R490" s="241"/>
    </row>
    <row r="491" spans="8:18" s="309" customFormat="1">
      <c r="H491" s="231"/>
      <c r="I491" s="297"/>
      <c r="J491" s="231"/>
      <c r="K491" s="231"/>
      <c r="L491" s="231"/>
      <c r="M491" s="231"/>
      <c r="N491" s="231"/>
      <c r="O491" s="231"/>
      <c r="P491" s="231"/>
      <c r="Q491" s="235"/>
      <c r="R491" s="241"/>
    </row>
    <row r="492" spans="8:18" s="309" customFormat="1">
      <c r="H492" s="231"/>
      <c r="I492" s="297"/>
      <c r="J492" s="231"/>
      <c r="K492" s="231"/>
      <c r="L492" s="231"/>
      <c r="M492" s="231"/>
      <c r="N492" s="231"/>
      <c r="O492" s="231"/>
      <c r="P492" s="231"/>
      <c r="Q492" s="235"/>
      <c r="R492" s="241"/>
    </row>
    <row r="493" spans="8:18" s="309" customFormat="1">
      <c r="H493" s="231"/>
      <c r="I493" s="297"/>
      <c r="J493" s="231"/>
      <c r="K493" s="231"/>
      <c r="L493" s="231"/>
      <c r="M493" s="231"/>
      <c r="N493" s="231"/>
      <c r="O493" s="231"/>
      <c r="P493" s="231"/>
      <c r="Q493" s="235"/>
      <c r="R493" s="241"/>
    </row>
    <row r="494" spans="8:18" s="309" customFormat="1">
      <c r="H494" s="231"/>
      <c r="I494" s="297"/>
      <c r="J494" s="231"/>
      <c r="K494" s="231"/>
      <c r="L494" s="231"/>
      <c r="M494" s="231"/>
      <c r="N494" s="231"/>
      <c r="O494" s="231"/>
      <c r="P494" s="231"/>
      <c r="Q494" s="235"/>
      <c r="R494" s="241"/>
    </row>
    <row r="495" spans="8:18" s="309" customFormat="1">
      <c r="H495" s="231"/>
      <c r="I495" s="297"/>
      <c r="J495" s="231"/>
      <c r="K495" s="231"/>
      <c r="L495" s="231"/>
      <c r="M495" s="231"/>
      <c r="N495" s="231"/>
      <c r="O495" s="231"/>
      <c r="P495" s="231"/>
      <c r="Q495" s="235"/>
      <c r="R495" s="241"/>
    </row>
    <row r="496" spans="8:18" s="309" customFormat="1">
      <c r="H496" s="231"/>
      <c r="I496" s="297"/>
      <c r="J496" s="231"/>
      <c r="K496" s="231"/>
      <c r="L496" s="231"/>
      <c r="M496" s="231"/>
      <c r="N496" s="231"/>
      <c r="O496" s="231"/>
      <c r="P496" s="231"/>
      <c r="Q496" s="235"/>
      <c r="R496" s="241"/>
    </row>
    <row r="497" spans="8:18" s="309" customFormat="1">
      <c r="H497" s="231"/>
      <c r="I497" s="297"/>
      <c r="J497" s="231"/>
      <c r="K497" s="231"/>
      <c r="L497" s="231"/>
      <c r="M497" s="231"/>
      <c r="N497" s="231"/>
      <c r="O497" s="231"/>
      <c r="P497" s="231"/>
      <c r="Q497" s="235"/>
      <c r="R497" s="241"/>
    </row>
    <row r="498" spans="8:18" s="309" customFormat="1">
      <c r="H498" s="231"/>
      <c r="I498" s="297"/>
      <c r="J498" s="231"/>
      <c r="K498" s="231"/>
      <c r="L498" s="231"/>
      <c r="M498" s="231"/>
      <c r="N498" s="231"/>
      <c r="O498" s="231"/>
      <c r="P498" s="231"/>
      <c r="Q498" s="235"/>
      <c r="R498" s="241"/>
    </row>
    <row r="499" spans="8:18" s="309" customFormat="1">
      <c r="H499" s="231"/>
      <c r="I499" s="297"/>
      <c r="J499" s="231"/>
      <c r="K499" s="231"/>
      <c r="L499" s="231"/>
      <c r="M499" s="231"/>
      <c r="N499" s="231"/>
      <c r="O499" s="231"/>
      <c r="P499" s="231"/>
      <c r="Q499" s="235"/>
      <c r="R499" s="241"/>
    </row>
    <row r="500" spans="8:18" s="309" customFormat="1">
      <c r="H500" s="231"/>
      <c r="I500" s="297"/>
      <c r="J500" s="231"/>
      <c r="K500" s="231"/>
      <c r="L500" s="231"/>
      <c r="M500" s="231"/>
      <c r="N500" s="231"/>
      <c r="O500" s="231"/>
      <c r="P500" s="231"/>
      <c r="Q500" s="235"/>
      <c r="R500" s="241"/>
    </row>
    <row r="501" spans="8:18" s="309" customFormat="1">
      <c r="H501" s="231"/>
      <c r="I501" s="297"/>
      <c r="J501" s="231"/>
      <c r="K501" s="231"/>
      <c r="L501" s="231"/>
      <c r="M501" s="231"/>
      <c r="N501" s="231"/>
      <c r="O501" s="231"/>
      <c r="P501" s="231"/>
      <c r="Q501" s="235"/>
      <c r="R501" s="241"/>
    </row>
    <row r="502" spans="8:18" s="309" customFormat="1">
      <c r="H502" s="231"/>
      <c r="I502" s="297"/>
      <c r="J502" s="231"/>
      <c r="K502" s="231"/>
      <c r="L502" s="231"/>
      <c r="M502" s="231"/>
      <c r="N502" s="231"/>
      <c r="O502" s="231"/>
      <c r="P502" s="231"/>
      <c r="Q502" s="235"/>
      <c r="R502" s="241"/>
    </row>
    <row r="503" spans="8:18" s="309" customFormat="1">
      <c r="H503" s="231"/>
      <c r="I503" s="297"/>
      <c r="J503" s="231"/>
      <c r="K503" s="231"/>
      <c r="L503" s="231"/>
      <c r="M503" s="231"/>
      <c r="N503" s="231"/>
      <c r="O503" s="231"/>
      <c r="P503" s="231"/>
      <c r="Q503" s="235"/>
      <c r="R503" s="241"/>
    </row>
    <row r="504" spans="8:18" s="309" customFormat="1">
      <c r="H504" s="231"/>
      <c r="I504" s="297"/>
      <c r="J504" s="231"/>
      <c r="K504" s="231"/>
      <c r="L504" s="231"/>
      <c r="M504" s="231"/>
      <c r="N504" s="231"/>
      <c r="O504" s="231"/>
      <c r="P504" s="231"/>
      <c r="Q504" s="235"/>
      <c r="R504" s="241"/>
    </row>
    <row r="505" spans="8:18" s="309" customFormat="1">
      <c r="H505" s="231"/>
      <c r="I505" s="297"/>
      <c r="J505" s="231"/>
      <c r="K505" s="231"/>
      <c r="L505" s="231"/>
      <c r="M505" s="231"/>
      <c r="N505" s="231"/>
      <c r="O505" s="231"/>
      <c r="P505" s="231"/>
      <c r="Q505" s="235"/>
      <c r="R505" s="241"/>
    </row>
    <row r="506" spans="8:18" s="309" customFormat="1">
      <c r="H506" s="231"/>
      <c r="I506" s="297"/>
      <c r="J506" s="231"/>
      <c r="K506" s="231"/>
      <c r="L506" s="231"/>
      <c r="M506" s="231"/>
      <c r="N506" s="231"/>
      <c r="O506" s="231"/>
      <c r="P506" s="231"/>
      <c r="Q506" s="235"/>
      <c r="R506" s="241"/>
    </row>
    <row r="507" spans="8:18" s="309" customFormat="1">
      <c r="H507" s="231"/>
      <c r="I507" s="297"/>
      <c r="J507" s="231"/>
      <c r="K507" s="231"/>
      <c r="L507" s="231"/>
      <c r="M507" s="231"/>
      <c r="N507" s="231"/>
      <c r="O507" s="231"/>
      <c r="P507" s="231"/>
      <c r="Q507" s="235"/>
      <c r="R507" s="241"/>
    </row>
    <row r="508" spans="8:18" s="309" customFormat="1">
      <c r="H508" s="231"/>
      <c r="I508" s="297"/>
      <c r="J508" s="231"/>
      <c r="K508" s="231"/>
      <c r="L508" s="231"/>
      <c r="M508" s="231"/>
      <c r="N508" s="231"/>
      <c r="O508" s="231"/>
      <c r="P508" s="231"/>
      <c r="Q508" s="235"/>
      <c r="R508" s="241"/>
    </row>
    <row r="509" spans="8:18" s="309" customFormat="1">
      <c r="H509" s="231"/>
      <c r="I509" s="297"/>
      <c r="J509" s="231"/>
      <c r="K509" s="231"/>
      <c r="L509" s="231"/>
      <c r="M509" s="231"/>
      <c r="N509" s="231"/>
      <c r="O509" s="231"/>
      <c r="P509" s="231"/>
      <c r="Q509" s="235"/>
      <c r="R509" s="241"/>
    </row>
    <row r="510" spans="8:18" s="309" customFormat="1">
      <c r="H510" s="231"/>
      <c r="I510" s="297"/>
      <c r="J510" s="231"/>
      <c r="K510" s="231"/>
      <c r="L510" s="231"/>
      <c r="M510" s="231"/>
      <c r="N510" s="231"/>
      <c r="O510" s="231"/>
      <c r="P510" s="231"/>
      <c r="Q510" s="235"/>
      <c r="R510" s="241"/>
    </row>
    <row r="511" spans="8:18" s="309" customFormat="1">
      <c r="H511" s="231"/>
      <c r="I511" s="297"/>
      <c r="J511" s="231"/>
      <c r="K511" s="231"/>
      <c r="L511" s="231"/>
      <c r="M511" s="231"/>
      <c r="N511" s="231"/>
      <c r="O511" s="231"/>
      <c r="P511" s="231"/>
      <c r="Q511" s="235"/>
      <c r="R511" s="241"/>
    </row>
    <row r="512" spans="8:18" s="309" customFormat="1">
      <c r="H512" s="231"/>
      <c r="I512" s="297"/>
      <c r="J512" s="231"/>
      <c r="K512" s="231"/>
      <c r="L512" s="231"/>
      <c r="M512" s="231"/>
      <c r="N512" s="231"/>
      <c r="O512" s="231"/>
      <c r="P512" s="231"/>
      <c r="Q512" s="235"/>
      <c r="R512" s="241"/>
    </row>
    <row r="513" spans="8:18" s="309" customFormat="1">
      <c r="H513" s="231"/>
      <c r="I513" s="297"/>
      <c r="J513" s="231"/>
      <c r="K513" s="231"/>
      <c r="L513" s="231"/>
      <c r="M513" s="231"/>
      <c r="N513" s="231"/>
      <c r="O513" s="231"/>
      <c r="P513" s="231"/>
      <c r="Q513" s="235"/>
      <c r="R513" s="241"/>
    </row>
    <row r="514" spans="8:18" s="309" customFormat="1">
      <c r="H514" s="231"/>
      <c r="I514" s="297"/>
      <c r="J514" s="231"/>
      <c r="K514" s="231"/>
      <c r="L514" s="231"/>
      <c r="M514" s="231"/>
      <c r="N514" s="231"/>
      <c r="O514" s="231"/>
      <c r="P514" s="231"/>
      <c r="Q514" s="235"/>
      <c r="R514" s="241"/>
    </row>
    <row r="515" spans="8:18" s="309" customFormat="1">
      <c r="H515" s="231"/>
      <c r="I515" s="297"/>
      <c r="J515" s="231"/>
      <c r="K515" s="231"/>
      <c r="L515" s="231"/>
      <c r="M515" s="231"/>
      <c r="N515" s="231"/>
      <c r="O515" s="231"/>
      <c r="P515" s="231"/>
      <c r="Q515" s="235"/>
      <c r="R515" s="241"/>
    </row>
    <row r="516" spans="8:18" s="309" customFormat="1">
      <c r="H516" s="231"/>
      <c r="I516" s="297"/>
      <c r="J516" s="231"/>
      <c r="K516" s="231"/>
      <c r="L516" s="231"/>
      <c r="M516" s="231"/>
      <c r="N516" s="231"/>
      <c r="O516" s="231"/>
      <c r="P516" s="231"/>
      <c r="Q516" s="235"/>
      <c r="R516" s="241"/>
    </row>
    <row r="517" spans="8:18" s="309" customFormat="1">
      <c r="H517" s="231"/>
      <c r="I517" s="297"/>
      <c r="J517" s="231"/>
      <c r="K517" s="231"/>
      <c r="L517" s="231"/>
      <c r="M517" s="231"/>
      <c r="N517" s="231"/>
      <c r="O517" s="231"/>
      <c r="P517" s="231"/>
      <c r="Q517" s="235"/>
      <c r="R517" s="241"/>
    </row>
    <row r="518" spans="8:18" s="309" customFormat="1">
      <c r="H518" s="231"/>
      <c r="I518" s="297"/>
      <c r="J518" s="231"/>
      <c r="K518" s="231"/>
      <c r="L518" s="231"/>
      <c r="M518" s="231"/>
      <c r="N518" s="231"/>
      <c r="O518" s="231"/>
      <c r="P518" s="231"/>
      <c r="Q518" s="235"/>
      <c r="R518" s="241"/>
    </row>
    <row r="519" spans="8:18" s="309" customFormat="1">
      <c r="H519" s="231"/>
      <c r="I519" s="297"/>
      <c r="J519" s="231"/>
      <c r="K519" s="231"/>
      <c r="L519" s="231"/>
      <c r="M519" s="231"/>
      <c r="N519" s="231"/>
      <c r="O519" s="231"/>
      <c r="P519" s="231"/>
      <c r="Q519" s="235"/>
      <c r="R519" s="241"/>
    </row>
    <row r="520" spans="8:18" s="309" customFormat="1">
      <c r="H520" s="231"/>
      <c r="I520" s="297"/>
      <c r="J520" s="231"/>
      <c r="K520" s="231"/>
      <c r="L520" s="231"/>
      <c r="M520" s="231"/>
      <c r="N520" s="231"/>
      <c r="O520" s="231"/>
      <c r="P520" s="231"/>
      <c r="Q520" s="235"/>
      <c r="R520" s="241"/>
    </row>
    <row r="521" spans="8:18" s="309" customFormat="1">
      <c r="H521" s="231"/>
      <c r="I521" s="297"/>
      <c r="J521" s="231"/>
      <c r="K521" s="231"/>
      <c r="L521" s="231"/>
      <c r="M521" s="231"/>
      <c r="N521" s="231"/>
      <c r="O521" s="231"/>
      <c r="P521" s="231"/>
      <c r="Q521" s="235"/>
      <c r="R521" s="241"/>
    </row>
    <row r="522" spans="8:18" s="309" customFormat="1">
      <c r="H522" s="231"/>
      <c r="I522" s="297"/>
      <c r="J522" s="231"/>
      <c r="K522" s="231"/>
      <c r="L522" s="231"/>
      <c r="M522" s="231"/>
      <c r="N522" s="231"/>
      <c r="O522" s="231"/>
      <c r="P522" s="231"/>
      <c r="Q522" s="235"/>
      <c r="R522" s="241"/>
    </row>
    <row r="523" spans="8:18" s="309" customFormat="1">
      <c r="H523" s="231"/>
      <c r="I523" s="297"/>
      <c r="J523" s="231"/>
      <c r="K523" s="231"/>
      <c r="L523" s="231"/>
      <c r="M523" s="231"/>
      <c r="N523" s="231"/>
      <c r="O523" s="231"/>
      <c r="P523" s="231"/>
      <c r="Q523" s="235"/>
      <c r="R523" s="241"/>
    </row>
    <row r="524" spans="8:18" s="309" customFormat="1">
      <c r="H524" s="231"/>
      <c r="I524" s="297"/>
      <c r="J524" s="231"/>
      <c r="K524" s="231"/>
      <c r="L524" s="231"/>
      <c r="M524" s="231"/>
      <c r="N524" s="231"/>
      <c r="O524" s="231"/>
      <c r="P524" s="231"/>
      <c r="Q524" s="235"/>
      <c r="R524" s="241"/>
    </row>
    <row r="525" spans="8:18" s="309" customFormat="1">
      <c r="H525" s="231"/>
      <c r="I525" s="297"/>
      <c r="J525" s="231"/>
      <c r="K525" s="231"/>
      <c r="L525" s="231"/>
      <c r="M525" s="231"/>
      <c r="N525" s="231"/>
      <c r="O525" s="231"/>
      <c r="P525" s="231"/>
      <c r="Q525" s="235"/>
      <c r="R525" s="241"/>
    </row>
    <row r="526" spans="8:18" s="309" customFormat="1">
      <c r="H526" s="231"/>
      <c r="I526" s="297"/>
      <c r="J526" s="231"/>
      <c r="K526" s="231"/>
      <c r="L526" s="231"/>
      <c r="M526" s="231"/>
      <c r="N526" s="231"/>
      <c r="O526" s="231"/>
      <c r="P526" s="231"/>
      <c r="Q526" s="235"/>
      <c r="R526" s="241"/>
    </row>
    <row r="527" spans="8:18" s="309" customFormat="1">
      <c r="H527" s="231"/>
      <c r="I527" s="297"/>
      <c r="J527" s="231"/>
      <c r="K527" s="231"/>
      <c r="L527" s="231"/>
      <c r="M527" s="231"/>
      <c r="N527" s="231"/>
      <c r="O527" s="231"/>
      <c r="P527" s="231"/>
      <c r="Q527" s="235"/>
      <c r="R527" s="241"/>
    </row>
    <row r="528" spans="8:18" s="309" customFormat="1">
      <c r="H528" s="231"/>
      <c r="I528" s="297"/>
      <c r="J528" s="231"/>
      <c r="K528" s="231"/>
      <c r="L528" s="231"/>
      <c r="M528" s="231"/>
      <c r="N528" s="231"/>
      <c r="O528" s="231"/>
      <c r="P528" s="231"/>
      <c r="Q528" s="235"/>
      <c r="R528" s="241"/>
    </row>
    <row r="529" spans="8:18" s="309" customFormat="1">
      <c r="H529" s="231"/>
      <c r="I529" s="297"/>
      <c r="J529" s="231"/>
      <c r="K529" s="231"/>
      <c r="L529" s="231"/>
      <c r="M529" s="231"/>
      <c r="N529" s="231"/>
      <c r="O529" s="231"/>
      <c r="P529" s="231"/>
      <c r="Q529" s="235"/>
      <c r="R529" s="241"/>
    </row>
    <row r="530" spans="8:18" s="309" customFormat="1">
      <c r="H530" s="231"/>
      <c r="I530" s="297"/>
      <c r="J530" s="231"/>
      <c r="K530" s="231"/>
      <c r="L530" s="231"/>
      <c r="M530" s="231"/>
      <c r="N530" s="231"/>
      <c r="O530" s="231"/>
      <c r="P530" s="231"/>
      <c r="Q530" s="235"/>
      <c r="R530" s="241"/>
    </row>
    <row r="531" spans="8:18" s="309" customFormat="1">
      <c r="H531" s="231"/>
      <c r="I531" s="297"/>
      <c r="J531" s="231"/>
      <c r="K531" s="231"/>
      <c r="L531" s="231"/>
      <c r="M531" s="231"/>
      <c r="N531" s="231"/>
      <c r="O531" s="231"/>
      <c r="P531" s="231"/>
      <c r="Q531" s="235"/>
      <c r="R531" s="241"/>
    </row>
    <row r="532" spans="8:18" s="309" customFormat="1">
      <c r="H532" s="231"/>
      <c r="I532" s="297"/>
      <c r="J532" s="231"/>
      <c r="K532" s="231"/>
      <c r="L532" s="231"/>
      <c r="M532" s="231"/>
      <c r="N532" s="231"/>
      <c r="O532" s="231"/>
      <c r="P532" s="231"/>
      <c r="Q532" s="235"/>
      <c r="R532" s="241"/>
    </row>
  </sheetData>
  <mergeCells count="41">
    <mergeCell ref="D378:G378"/>
    <mergeCell ref="D408:G408"/>
    <mergeCell ref="D438:G438"/>
    <mergeCell ref="D285:G285"/>
    <mergeCell ref="A307:H307"/>
    <mergeCell ref="D316:G316"/>
    <mergeCell ref="A338:H338"/>
    <mergeCell ref="D347:G347"/>
    <mergeCell ref="A369:H369"/>
    <mergeCell ref="A276:H276"/>
    <mergeCell ref="A153:H153"/>
    <mergeCell ref="I153:P153"/>
    <mergeCell ref="D162:G162"/>
    <mergeCell ref="L162:O162"/>
    <mergeCell ref="D192:G192"/>
    <mergeCell ref="L192:O192"/>
    <mergeCell ref="A214:H214"/>
    <mergeCell ref="I214:P214"/>
    <mergeCell ref="D223:G223"/>
    <mergeCell ref="A245:H245"/>
    <mergeCell ref="D254:G254"/>
    <mergeCell ref="D131:G131"/>
    <mergeCell ref="L131:O131"/>
    <mergeCell ref="D39:G39"/>
    <mergeCell ref="L39:O39"/>
    <mergeCell ref="A61:H61"/>
    <mergeCell ref="I61:P61"/>
    <mergeCell ref="D70:G70"/>
    <mergeCell ref="L70:O70"/>
    <mergeCell ref="B99:H99"/>
    <mergeCell ref="D100:G100"/>
    <mergeCell ref="L100:O100"/>
    <mergeCell ref="A122:H122"/>
    <mergeCell ref="I122:P122"/>
    <mergeCell ref="A30:H30"/>
    <mergeCell ref="I30:P30"/>
    <mergeCell ref="Q2:X2"/>
    <mergeCell ref="D7:G7"/>
    <mergeCell ref="L7:O7"/>
    <mergeCell ref="A28:H28"/>
    <mergeCell ref="I28:P28"/>
  </mergeCells>
  <conditionalFormatting sqref="Q1:R7 Q9:R1048576">
    <cfRule type="cellIs" dxfId="3163" priority="1" stopIfTrue="1" operator="notEqual">
      <formula>100</formula>
    </cfRule>
  </conditionalFormatting>
  <pageMargins left="0.7" right="0.7" top="0.75" bottom="0.75" header="0.3" footer="0.3"/>
  <pageSetup scale="97" firstPageNumber="91" orientation="landscape" useFirstPageNumber="1" r:id="rId1"/>
  <headerFooter>
    <oddHeader>&amp;R&amp;"Arial,Regular"&amp;8SREB-State Data Exchange</oddHeader>
    <oddFooter>&amp;CC-&amp;P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2067-10E3-4BAA-A5BD-3515843DC131}">
  <sheetPr>
    <tabColor rgb="FF006600"/>
  </sheetPr>
  <dimension ref="A2:W617"/>
  <sheetViews>
    <sheetView workbookViewId="0">
      <pane xSplit="2" ySplit="5" topLeftCell="P6" activePane="bottomRight" state="frozen"/>
      <selection pane="topRight" activeCell="C1" sqref="C1"/>
      <selection pane="bottomLeft" activeCell="A6" sqref="A6"/>
      <selection pane="bottomRight" activeCell="E21" sqref="E21"/>
    </sheetView>
  </sheetViews>
  <sheetFormatPr defaultColWidth="8.84375" defaultRowHeight="14.5"/>
  <cols>
    <col min="1" max="1" width="4.69140625" style="393" customWidth="1"/>
    <col min="2" max="2" width="16.84375" style="393" customWidth="1"/>
    <col min="3" max="9" width="10" style="393" customWidth="1"/>
    <col min="10" max="10" width="12.4609375" style="393" customWidth="1"/>
    <col min="11" max="14" width="8.69140625" style="393" customWidth="1"/>
    <col min="15" max="15" width="11.07421875" style="393" customWidth="1"/>
    <col min="16" max="17" width="8.765625" style="393" customWidth="1"/>
    <col min="18" max="18" width="11.3046875" style="393" customWidth="1"/>
    <col min="19" max="21" width="8.84375" style="393" customWidth="1"/>
    <col min="22" max="22" width="7.07421875" style="393" customWidth="1"/>
    <col min="23" max="16384" width="8.84375" style="393"/>
  </cols>
  <sheetData>
    <row r="2" spans="1:22">
      <c r="D2" s="393" t="s">
        <v>581</v>
      </c>
    </row>
    <row r="3" spans="1:22">
      <c r="A3" s="394"/>
      <c r="B3" s="395"/>
      <c r="C3" s="394" t="s">
        <v>564</v>
      </c>
      <c r="D3" s="396" t="s">
        <v>21</v>
      </c>
      <c r="E3" s="396"/>
      <c r="F3" s="397"/>
      <c r="G3" s="397"/>
      <c r="H3" s="397"/>
      <c r="I3" s="397"/>
      <c r="J3" s="397"/>
      <c r="K3" s="397"/>
      <c r="L3" s="397"/>
      <c r="M3" s="397"/>
      <c r="N3" s="397"/>
      <c r="O3" s="397"/>
      <c r="P3" s="397"/>
      <c r="Q3" s="397"/>
      <c r="R3" s="397"/>
      <c r="S3" s="398"/>
      <c r="T3" s="398"/>
      <c r="U3" s="397"/>
      <c r="V3" s="399"/>
    </row>
    <row r="4" spans="1:22">
      <c r="A4" s="400"/>
      <c r="B4" s="401"/>
      <c r="C4" s="400" t="s">
        <v>582</v>
      </c>
      <c r="D4" s="402"/>
      <c r="E4" s="401"/>
      <c r="F4" s="401"/>
      <c r="G4" s="401"/>
      <c r="H4" s="401"/>
      <c r="I4" s="401"/>
      <c r="J4" s="394" t="s">
        <v>583</v>
      </c>
      <c r="K4" s="403" t="s">
        <v>568</v>
      </c>
      <c r="L4" s="402"/>
      <c r="M4" s="401"/>
      <c r="N4" s="401"/>
      <c r="O4" s="394" t="s">
        <v>569</v>
      </c>
      <c r="P4" s="394" t="s">
        <v>584</v>
      </c>
      <c r="Q4" s="395"/>
      <c r="R4" s="394" t="s">
        <v>585</v>
      </c>
      <c r="S4" s="404" t="s">
        <v>659</v>
      </c>
      <c r="T4" s="404" t="s">
        <v>660</v>
      </c>
      <c r="U4" s="405" t="s">
        <v>586</v>
      </c>
      <c r="V4" s="399"/>
    </row>
    <row r="5" spans="1:22">
      <c r="A5" s="394" t="s">
        <v>14</v>
      </c>
      <c r="B5" s="394" t="s">
        <v>572</v>
      </c>
      <c r="C5" s="394">
        <v>1</v>
      </c>
      <c r="D5" s="406">
        <v>2</v>
      </c>
      <c r="E5" s="406">
        <v>3</v>
      </c>
      <c r="F5" s="406">
        <v>4</v>
      </c>
      <c r="G5" s="406">
        <v>5</v>
      </c>
      <c r="H5" s="406">
        <v>6</v>
      </c>
      <c r="I5" s="406">
        <v>15</v>
      </c>
      <c r="J5" s="407"/>
      <c r="K5" s="408">
        <v>7</v>
      </c>
      <c r="L5" s="406">
        <v>8</v>
      </c>
      <c r="M5" s="406">
        <v>9</v>
      </c>
      <c r="N5" s="406">
        <v>10</v>
      </c>
      <c r="O5" s="407"/>
      <c r="P5" s="409">
        <v>12</v>
      </c>
      <c r="Q5" s="393">
        <v>13</v>
      </c>
      <c r="R5" s="407"/>
      <c r="S5" s="410" t="s">
        <v>659</v>
      </c>
      <c r="T5" s="410"/>
      <c r="U5" s="411"/>
      <c r="V5" s="399"/>
    </row>
    <row r="6" spans="1:22">
      <c r="A6" s="412" t="s">
        <v>50</v>
      </c>
      <c r="B6" s="394" t="s">
        <v>587</v>
      </c>
      <c r="C6" s="413">
        <v>0.86956405174602891</v>
      </c>
      <c r="D6" s="414">
        <v>0.8751196571861769</v>
      </c>
      <c r="E6" s="414">
        <v>0.75132683363217267</v>
      </c>
      <c r="F6" s="414">
        <v>0.8015372952027966</v>
      </c>
      <c r="G6" s="414">
        <v>0.85087901882925576</v>
      </c>
      <c r="H6" s="414">
        <v>0.1644015514766515</v>
      </c>
      <c r="I6" s="414">
        <v>0.98632580261593339</v>
      </c>
      <c r="J6" s="415">
        <v>0.82788968098718552</v>
      </c>
      <c r="K6" s="415">
        <v>0</v>
      </c>
      <c r="L6" s="414">
        <v>0.57226290905719845</v>
      </c>
      <c r="M6" s="414">
        <v>0.61235526323553424</v>
      </c>
      <c r="N6" s="414">
        <v>0.62011479846808459</v>
      </c>
      <c r="O6" s="415">
        <v>0.60513902746995607</v>
      </c>
      <c r="P6" s="415">
        <v>0.87051560153512431</v>
      </c>
      <c r="Q6" s="414">
        <v>0.81565391469934811</v>
      </c>
      <c r="R6" s="415">
        <v>0.84341229255113859</v>
      </c>
      <c r="S6" s="415">
        <v>0</v>
      </c>
      <c r="T6" s="415">
        <v>0</v>
      </c>
      <c r="U6" s="415">
        <v>0.75865693833741477</v>
      </c>
      <c r="V6" s="399"/>
    </row>
    <row r="7" spans="1:22">
      <c r="A7" s="416"/>
      <c r="B7" s="417" t="s">
        <v>588</v>
      </c>
      <c r="C7" s="418">
        <v>0.83966533582711622</v>
      </c>
      <c r="D7" s="419">
        <v>0.85296901893287436</v>
      </c>
      <c r="E7" s="419">
        <v>0.71947202421014878</v>
      </c>
      <c r="F7" s="419">
        <v>0.78955242054725416</v>
      </c>
      <c r="G7" s="419">
        <v>0.77681811294271519</v>
      </c>
      <c r="H7" s="419">
        <v>0.15288721077184717</v>
      </c>
      <c r="I7" s="419">
        <v>0.9650692391473471</v>
      </c>
      <c r="J7" s="420">
        <v>0.79801022109890785</v>
      </c>
      <c r="K7" s="420">
        <v>0</v>
      </c>
      <c r="L7" s="419">
        <v>0.60592469545957917</v>
      </c>
      <c r="M7" s="419">
        <v>0.58737894576231631</v>
      </c>
      <c r="N7" s="419">
        <v>0.60588062014511035</v>
      </c>
      <c r="O7" s="420">
        <v>0.59482230456126617</v>
      </c>
      <c r="P7" s="420">
        <v>0.81620317116629448</v>
      </c>
      <c r="Q7" s="419">
        <v>0.81336584284606006</v>
      </c>
      <c r="R7" s="420">
        <v>0.81477216831373256</v>
      </c>
      <c r="S7" s="420">
        <v>0</v>
      </c>
      <c r="T7" s="420">
        <v>0</v>
      </c>
      <c r="U7" s="420">
        <v>0.73579557651203109</v>
      </c>
      <c r="V7" s="421"/>
    </row>
    <row r="8" spans="1:22">
      <c r="A8" s="416"/>
      <c r="B8" s="422" t="s">
        <v>589</v>
      </c>
      <c r="C8" s="423">
        <v>-2.9898715918912688</v>
      </c>
      <c r="D8" s="424">
        <v>-2.2150638253302546</v>
      </c>
      <c r="E8" s="424">
        <v>-3.18548094220239</v>
      </c>
      <c r="F8" s="424">
        <v>-1.1984874655542432</v>
      </c>
      <c r="G8" s="424">
        <v>-7.4060905886540578</v>
      </c>
      <c r="H8" s="424">
        <v>-1.1514340704804338</v>
      </c>
      <c r="I8" s="424">
        <v>-2.1256563468586287</v>
      </c>
      <c r="J8" s="425">
        <v>-2.9879459888277671</v>
      </c>
      <c r="K8" s="425">
        <v>0</v>
      </c>
      <c r="L8" s="424">
        <v>3.3661786402380711</v>
      </c>
      <c r="M8" s="424">
        <v>-2.4976317473217935</v>
      </c>
      <c r="N8" s="424">
        <v>-1.4234178322974245</v>
      </c>
      <c r="O8" s="425">
        <v>-1.0316722908689901</v>
      </c>
      <c r="P8" s="425">
        <v>-5.4312430368829823</v>
      </c>
      <c r="Q8" s="424">
        <v>-0.2288071853288054</v>
      </c>
      <c r="R8" s="425">
        <v>-2.8640124237406028</v>
      </c>
      <c r="S8" s="425">
        <v>0</v>
      </c>
      <c r="T8" s="425">
        <v>0</v>
      </c>
      <c r="U8" s="425">
        <v>-2.2861361825383675</v>
      </c>
      <c r="V8" s="421"/>
    </row>
    <row r="9" spans="1:22">
      <c r="A9" s="416"/>
      <c r="B9" s="394" t="s">
        <v>590</v>
      </c>
      <c r="C9" s="413">
        <v>6.2310118034120329E-3</v>
      </c>
      <c r="D9" s="414">
        <v>8.5232322323801444E-4</v>
      </c>
      <c r="E9" s="414">
        <v>3.5642833432234398E-3</v>
      </c>
      <c r="F9" s="414">
        <v>1.8700248494293054E-3</v>
      </c>
      <c r="G9" s="414">
        <v>2.9620853080568718E-3</v>
      </c>
      <c r="H9" s="414">
        <v>2.6066640197904896E-2</v>
      </c>
      <c r="I9" s="414">
        <v>0</v>
      </c>
      <c r="J9" s="415">
        <v>4.9157383838466509E-3</v>
      </c>
      <c r="K9" s="415">
        <v>0</v>
      </c>
      <c r="L9" s="414">
        <v>6.9833514197372659E-2</v>
      </c>
      <c r="M9" s="414">
        <v>0.14299117073775183</v>
      </c>
      <c r="N9" s="414">
        <v>2.1278013459787221E-2</v>
      </c>
      <c r="O9" s="415">
        <v>0.10461600044738384</v>
      </c>
      <c r="P9" s="415">
        <v>4.3264761269099665E-2</v>
      </c>
      <c r="Q9" s="414">
        <v>5.1243866116549887E-2</v>
      </c>
      <c r="R9" s="415">
        <v>4.7206676958703203E-2</v>
      </c>
      <c r="S9" s="415">
        <v>0</v>
      </c>
      <c r="T9" s="415">
        <v>0</v>
      </c>
      <c r="U9" s="415">
        <v>3.6652887335101018E-2</v>
      </c>
      <c r="V9" s="421"/>
    </row>
    <row r="10" spans="1:22">
      <c r="A10" s="416"/>
      <c r="B10" s="417" t="s">
        <v>591</v>
      </c>
      <c r="C10" s="418">
        <v>1.1806281515383536E-2</v>
      </c>
      <c r="D10" s="419">
        <v>9.3373493975903619E-4</v>
      </c>
      <c r="E10" s="419">
        <v>3.2989275415006561E-3</v>
      </c>
      <c r="F10" s="419">
        <v>3.2572581627150488E-3</v>
      </c>
      <c r="G10" s="419">
        <v>1.9379381295308276E-3</v>
      </c>
      <c r="H10" s="419">
        <v>2.6789196948184667E-2</v>
      </c>
      <c r="I10" s="419">
        <v>0</v>
      </c>
      <c r="J10" s="420">
        <v>7.9050546702052332E-3</v>
      </c>
      <c r="K10" s="420">
        <v>0</v>
      </c>
      <c r="L10" s="419">
        <v>3.3524363233665561E-2</v>
      </c>
      <c r="M10" s="419">
        <v>0.14071860168954867</v>
      </c>
      <c r="N10" s="419">
        <v>2.3469969325742683E-2</v>
      </c>
      <c r="O10" s="420">
        <v>9.5775315030362101E-2</v>
      </c>
      <c r="P10" s="420">
        <v>3.6154904481584232E-2</v>
      </c>
      <c r="Q10" s="419">
        <v>6.7006538845173449E-2</v>
      </c>
      <c r="R10" s="420">
        <v>5.1714886195948669E-2</v>
      </c>
      <c r="S10" s="420">
        <v>0</v>
      </c>
      <c r="T10" s="420">
        <v>0</v>
      </c>
      <c r="U10" s="420">
        <v>3.5648249227128039E-2</v>
      </c>
      <c r="V10" s="421"/>
    </row>
    <row r="11" spans="1:22">
      <c r="A11" s="416"/>
      <c r="B11" s="422" t="s">
        <v>592</v>
      </c>
      <c r="C11" s="423">
        <v>0.55752697119715033</v>
      </c>
      <c r="D11" s="424">
        <v>8.1411716521021752E-3</v>
      </c>
      <c r="E11" s="424">
        <v>-2.6535580172278375E-2</v>
      </c>
      <c r="F11" s="424">
        <v>0.13872333132857434</v>
      </c>
      <c r="G11" s="424">
        <v>-0.10241471785260442</v>
      </c>
      <c r="H11" s="424">
        <v>7.2255675027977154E-2</v>
      </c>
      <c r="I11" s="424">
        <v>0</v>
      </c>
      <c r="J11" s="426">
        <v>0.29893162863585826</v>
      </c>
      <c r="K11" s="426">
        <v>0</v>
      </c>
      <c r="L11" s="424">
        <v>-3.63091509637071</v>
      </c>
      <c r="M11" s="424">
        <v>-0.22725690482031657</v>
      </c>
      <c r="N11" s="424">
        <v>0.21919558659554625</v>
      </c>
      <c r="O11" s="426">
        <v>-0.88406854170217375</v>
      </c>
      <c r="P11" s="426">
        <v>-0.71098567875154328</v>
      </c>
      <c r="Q11" s="424">
        <v>1.5762672728623564</v>
      </c>
      <c r="R11" s="426">
        <v>0.45082092372454652</v>
      </c>
      <c r="S11" s="426">
        <v>0</v>
      </c>
      <c r="T11" s="426">
        <v>0</v>
      </c>
      <c r="U11" s="426">
        <v>-0.10046381079729799</v>
      </c>
      <c r="V11" s="421"/>
    </row>
    <row r="12" spans="1:22">
      <c r="A12" s="416"/>
      <c r="B12" s="394" t="s">
        <v>593</v>
      </c>
      <c r="C12" s="413">
        <v>0.12357313471793517</v>
      </c>
      <c r="D12" s="414">
        <v>0.12402801959058504</v>
      </c>
      <c r="E12" s="414">
        <v>0.23267170015418312</v>
      </c>
      <c r="F12" s="414">
        <v>0.19659267994777407</v>
      </c>
      <c r="G12" s="414">
        <v>0.14615889586268732</v>
      </c>
      <c r="H12" s="414">
        <v>0.80953180832544358</v>
      </c>
      <c r="I12" s="414">
        <v>1.3674197384066587E-2</v>
      </c>
      <c r="J12" s="415">
        <v>0.16420634206096518</v>
      </c>
      <c r="K12" s="415">
        <v>0</v>
      </c>
      <c r="L12" s="414">
        <v>0.35315112417452382</v>
      </c>
      <c r="M12" s="414">
        <v>0.23758563243598343</v>
      </c>
      <c r="N12" s="414">
        <v>0.35860718807212821</v>
      </c>
      <c r="O12" s="415">
        <v>0.28498821202461788</v>
      </c>
      <c r="P12" s="415">
        <v>8.6219637195776022E-2</v>
      </c>
      <c r="Q12" s="414">
        <v>0.13310221918410195</v>
      </c>
      <c r="R12" s="415">
        <v>0.10938103049015824</v>
      </c>
      <c r="S12" s="415">
        <v>0</v>
      </c>
      <c r="T12" s="415">
        <v>0</v>
      </c>
      <c r="U12" s="415">
        <v>0.20103993962233113</v>
      </c>
      <c r="V12" s="421"/>
    </row>
    <row r="13" spans="1:22">
      <c r="A13" s="416"/>
      <c r="B13" s="417" t="s">
        <v>594</v>
      </c>
      <c r="C13" s="418">
        <v>0.14778095722142187</v>
      </c>
      <c r="D13" s="419">
        <v>0.1460972461273666</v>
      </c>
      <c r="E13" s="419">
        <v>0.26641357694140533</v>
      </c>
      <c r="F13" s="419">
        <v>0.20719032129003079</v>
      </c>
      <c r="G13" s="419">
        <v>0.22124394892775398</v>
      </c>
      <c r="H13" s="419">
        <v>0.82032359227996821</v>
      </c>
      <c r="I13" s="419">
        <v>3.493076085265287E-2</v>
      </c>
      <c r="J13" s="420">
        <v>0.1912945612583388</v>
      </c>
      <c r="K13" s="420">
        <v>0</v>
      </c>
      <c r="L13" s="419">
        <v>0.3557890365448505</v>
      </c>
      <c r="M13" s="419">
        <v>0.26013085974312716</v>
      </c>
      <c r="N13" s="419">
        <v>0.37064941052914696</v>
      </c>
      <c r="O13" s="420">
        <v>0.30133445328220387</v>
      </c>
      <c r="P13" s="420">
        <v>0.14764192435212126</v>
      </c>
      <c r="Q13" s="419">
        <v>0.11962761830876649</v>
      </c>
      <c r="R13" s="420">
        <v>0.13351294549031884</v>
      </c>
      <c r="S13" s="420">
        <v>0</v>
      </c>
      <c r="T13" s="420">
        <v>0</v>
      </c>
      <c r="U13" s="420">
        <v>0.22418864497426819</v>
      </c>
      <c r="V13" s="421"/>
    </row>
    <row r="14" spans="1:22" s="427" customFormat="1">
      <c r="A14" s="416"/>
      <c r="B14" s="422" t="s">
        <v>595</v>
      </c>
      <c r="C14" s="423">
        <v>2.4207822503486702</v>
      </c>
      <c r="D14" s="424">
        <v>2.2069226536781561</v>
      </c>
      <c r="E14" s="424">
        <v>3.3741876787222207</v>
      </c>
      <c r="F14" s="424">
        <v>1.0597641342256714</v>
      </c>
      <c r="G14" s="424">
        <v>7.5085053065066658</v>
      </c>
      <c r="H14" s="424">
        <v>1.0791783954524625</v>
      </c>
      <c r="I14" s="424">
        <v>2.1256563468586283</v>
      </c>
      <c r="J14" s="426">
        <v>2.7088219197373613</v>
      </c>
      <c r="K14" s="426">
        <v>0</v>
      </c>
      <c r="L14" s="424">
        <v>0.26379123703266782</v>
      </c>
      <c r="M14" s="424">
        <v>2.2545227307143727</v>
      </c>
      <c r="N14" s="424">
        <v>1.2042222457018747</v>
      </c>
      <c r="O14" s="426">
        <v>1.6346241257585992</v>
      </c>
      <c r="P14" s="426">
        <v>6.1422287156345234</v>
      </c>
      <c r="Q14" s="424">
        <v>-1.3474600875335461</v>
      </c>
      <c r="R14" s="426">
        <v>2.41319150001606</v>
      </c>
      <c r="S14" s="426">
        <v>0</v>
      </c>
      <c r="T14" s="426">
        <v>0</v>
      </c>
      <c r="U14" s="426">
        <v>2.3148705351937053</v>
      </c>
      <c r="V14" s="421"/>
    </row>
    <row r="15" spans="1:22">
      <c r="A15" s="416"/>
      <c r="B15" s="394" t="s">
        <v>596</v>
      </c>
      <c r="C15" s="413">
        <v>6.318017326239348E-4</v>
      </c>
      <c r="D15" s="414">
        <v>0</v>
      </c>
      <c r="E15" s="414">
        <v>3.4989189237684252E-4</v>
      </c>
      <c r="F15" s="414">
        <v>0</v>
      </c>
      <c r="G15" s="414">
        <v>0</v>
      </c>
      <c r="H15" s="414">
        <v>0</v>
      </c>
      <c r="I15" s="414">
        <v>0</v>
      </c>
      <c r="J15" s="415">
        <v>4.1523775225966276E-4</v>
      </c>
      <c r="K15" s="415">
        <v>0</v>
      </c>
      <c r="L15" s="414">
        <v>4.7524525709050653E-3</v>
      </c>
      <c r="M15" s="414">
        <v>3.720327365205744E-3</v>
      </c>
      <c r="N15" s="414">
        <v>0</v>
      </c>
      <c r="O15" s="415">
        <v>3.2529514088175822E-3</v>
      </c>
      <c r="P15" s="415">
        <v>0</v>
      </c>
      <c r="Q15" s="414">
        <v>0</v>
      </c>
      <c r="R15" s="415">
        <v>0</v>
      </c>
      <c r="S15" s="415">
        <v>0</v>
      </c>
      <c r="T15" s="415">
        <v>0</v>
      </c>
      <c r="U15" s="415">
        <v>1.2939120958567092E-3</v>
      </c>
      <c r="V15" s="421"/>
    </row>
    <row r="16" spans="1:22">
      <c r="A16" s="416"/>
      <c r="B16" s="417" t="s">
        <v>597</v>
      </c>
      <c r="C16" s="418">
        <v>7.4742543607840312E-4</v>
      </c>
      <c r="D16" s="419">
        <v>0</v>
      </c>
      <c r="E16" s="419">
        <v>1.0815471306945188E-2</v>
      </c>
      <c r="F16" s="419">
        <v>0</v>
      </c>
      <c r="G16" s="419">
        <v>0</v>
      </c>
      <c r="H16" s="419">
        <v>0</v>
      </c>
      <c r="I16" s="419">
        <v>0</v>
      </c>
      <c r="J16" s="420">
        <v>2.7901629725480639E-3</v>
      </c>
      <c r="K16" s="420">
        <v>0</v>
      </c>
      <c r="L16" s="419">
        <v>3.0287929125138429E-3</v>
      </c>
      <c r="M16" s="419">
        <v>3.4844074263552442E-3</v>
      </c>
      <c r="N16" s="419">
        <v>0</v>
      </c>
      <c r="O16" s="420">
        <v>2.7370341359699859E-3</v>
      </c>
      <c r="P16" s="420">
        <v>0</v>
      </c>
      <c r="Q16" s="419">
        <v>0</v>
      </c>
      <c r="R16" s="420">
        <v>0</v>
      </c>
      <c r="S16" s="420">
        <v>0</v>
      </c>
      <c r="T16" s="420">
        <v>0</v>
      </c>
      <c r="U16" s="420">
        <v>2.7280316304158373E-3</v>
      </c>
      <c r="V16" s="421"/>
    </row>
    <row r="17" spans="1:22">
      <c r="A17" s="416"/>
      <c r="B17" s="422" t="s">
        <v>598</v>
      </c>
      <c r="C17" s="423">
        <v>1.1562370345446831E-2</v>
      </c>
      <c r="D17" s="424">
        <v>0</v>
      </c>
      <c r="E17" s="424">
        <v>1.0465579414568347</v>
      </c>
      <c r="F17" s="424">
        <v>0</v>
      </c>
      <c r="G17" s="424">
        <v>0</v>
      </c>
      <c r="H17" s="424">
        <v>0</v>
      </c>
      <c r="I17" s="424">
        <v>0</v>
      </c>
      <c r="J17" s="426">
        <v>0.23749252202884011</v>
      </c>
      <c r="K17" s="426">
        <v>0</v>
      </c>
      <c r="L17" s="424">
        <v>-0.17236596583912223</v>
      </c>
      <c r="M17" s="424">
        <v>-2.3591993885049976E-2</v>
      </c>
      <c r="N17" s="424">
        <v>0</v>
      </c>
      <c r="O17" s="426">
        <v>-5.1591727284759636E-2</v>
      </c>
      <c r="P17" s="426">
        <v>0</v>
      </c>
      <c r="Q17" s="424">
        <v>0</v>
      </c>
      <c r="R17" s="426">
        <v>0</v>
      </c>
      <c r="S17" s="426">
        <v>0</v>
      </c>
      <c r="T17" s="426">
        <v>0</v>
      </c>
      <c r="U17" s="426">
        <v>0.14341195345591282</v>
      </c>
      <c r="V17" s="421"/>
    </row>
    <row r="18" spans="1:22">
      <c r="A18" s="416"/>
      <c r="B18" s="394" t="s">
        <v>599</v>
      </c>
      <c r="C18" s="413">
        <v>0</v>
      </c>
      <c r="D18" s="414">
        <v>0</v>
      </c>
      <c r="E18" s="414">
        <v>1.2087290978043964E-2</v>
      </c>
      <c r="F18" s="414">
        <v>0</v>
      </c>
      <c r="G18" s="414">
        <v>0</v>
      </c>
      <c r="H18" s="414">
        <v>0</v>
      </c>
      <c r="I18" s="414">
        <v>0</v>
      </c>
      <c r="J18" s="415">
        <v>2.5730008157430219E-3</v>
      </c>
      <c r="K18" s="415">
        <v>0</v>
      </c>
      <c r="L18" s="414">
        <v>0</v>
      </c>
      <c r="M18" s="414">
        <v>3.3476062255248093E-3</v>
      </c>
      <c r="N18" s="414">
        <v>0</v>
      </c>
      <c r="O18" s="415">
        <v>2.0038086492245835E-3</v>
      </c>
      <c r="P18" s="415">
        <v>0</v>
      </c>
      <c r="Q18" s="414">
        <v>0</v>
      </c>
      <c r="R18" s="415">
        <v>0</v>
      </c>
      <c r="S18" s="415">
        <v>0</v>
      </c>
      <c r="T18" s="415">
        <v>0</v>
      </c>
      <c r="U18" s="415">
        <v>2.3563226092963765E-3</v>
      </c>
      <c r="V18" s="421"/>
    </row>
    <row r="19" spans="1:22">
      <c r="A19" s="416"/>
      <c r="B19" s="417" t="s">
        <v>600</v>
      </c>
      <c r="C19" s="418">
        <v>0</v>
      </c>
      <c r="D19" s="419">
        <v>0</v>
      </c>
      <c r="E19" s="419">
        <v>0</v>
      </c>
      <c r="F19" s="419">
        <v>0</v>
      </c>
      <c r="G19" s="419">
        <v>0</v>
      </c>
      <c r="H19" s="419">
        <v>0</v>
      </c>
      <c r="I19" s="419">
        <v>0</v>
      </c>
      <c r="J19" s="420">
        <v>0</v>
      </c>
      <c r="K19" s="420">
        <v>0</v>
      </c>
      <c r="L19" s="419">
        <v>1.7331118493909192E-3</v>
      </c>
      <c r="M19" s="419">
        <v>8.2871853786525701E-3</v>
      </c>
      <c r="N19" s="419">
        <v>0</v>
      </c>
      <c r="O19" s="420">
        <v>5.3308929901978623E-3</v>
      </c>
      <c r="P19" s="420">
        <v>0</v>
      </c>
      <c r="Q19" s="419">
        <v>0</v>
      </c>
      <c r="R19" s="420">
        <v>0</v>
      </c>
      <c r="S19" s="420">
        <v>0</v>
      </c>
      <c r="T19" s="420">
        <v>0</v>
      </c>
      <c r="U19" s="420">
        <v>1.6394976561568311E-3</v>
      </c>
      <c r="V19" s="421"/>
    </row>
    <row r="20" spans="1:22">
      <c r="A20" s="416"/>
      <c r="B20" s="422" t="s">
        <v>601</v>
      </c>
      <c r="C20" s="423">
        <v>0</v>
      </c>
      <c r="D20" s="424">
        <v>0</v>
      </c>
      <c r="E20" s="424">
        <v>-1.2087290978043963</v>
      </c>
      <c r="F20" s="424">
        <v>0</v>
      </c>
      <c r="G20" s="424">
        <v>0</v>
      </c>
      <c r="H20" s="424">
        <v>0</v>
      </c>
      <c r="I20" s="424">
        <v>0</v>
      </c>
      <c r="J20" s="426">
        <v>-0.25730008157430218</v>
      </c>
      <c r="K20" s="426">
        <v>0</v>
      </c>
      <c r="L20" s="424">
        <v>0</v>
      </c>
      <c r="M20" s="424">
        <v>0.49395791531277611</v>
      </c>
      <c r="N20" s="424">
        <v>0</v>
      </c>
      <c r="O20" s="426">
        <v>0.33270843409732787</v>
      </c>
      <c r="P20" s="426">
        <v>0</v>
      </c>
      <c r="Q20" s="424">
        <v>0</v>
      </c>
      <c r="R20" s="426">
        <v>0</v>
      </c>
      <c r="S20" s="426">
        <v>0</v>
      </c>
      <c r="T20" s="426">
        <v>0</v>
      </c>
      <c r="U20" s="426">
        <v>-7.1682495313954542E-2</v>
      </c>
      <c r="V20" s="421"/>
    </row>
    <row r="21" spans="1:22">
      <c r="A21" s="416"/>
      <c r="B21" s="394" t="s">
        <v>602</v>
      </c>
      <c r="C21" s="413">
        <v>0</v>
      </c>
      <c r="D21" s="414">
        <v>0</v>
      </c>
      <c r="E21" s="414">
        <v>0</v>
      </c>
      <c r="F21" s="414">
        <v>0</v>
      </c>
      <c r="G21" s="414">
        <v>0</v>
      </c>
      <c r="H21" s="414">
        <v>0</v>
      </c>
      <c r="I21" s="414">
        <v>0</v>
      </c>
      <c r="J21" s="415">
        <v>0</v>
      </c>
      <c r="K21" s="415">
        <v>0</v>
      </c>
      <c r="L21" s="414">
        <v>0</v>
      </c>
      <c r="M21" s="414">
        <v>0</v>
      </c>
      <c r="N21" s="414">
        <v>0</v>
      </c>
      <c r="O21" s="415">
        <v>0</v>
      </c>
      <c r="P21" s="415">
        <v>0</v>
      </c>
      <c r="Q21" s="414">
        <v>0</v>
      </c>
      <c r="R21" s="415">
        <v>0</v>
      </c>
      <c r="S21" s="415">
        <v>0</v>
      </c>
      <c r="T21" s="415">
        <v>0</v>
      </c>
      <c r="U21" s="415">
        <v>0</v>
      </c>
      <c r="V21" s="421"/>
    </row>
    <row r="22" spans="1:22">
      <c r="A22" s="416"/>
      <c r="B22" s="417" t="s">
        <v>603</v>
      </c>
      <c r="C22" s="418">
        <v>0</v>
      </c>
      <c r="D22" s="419">
        <v>0</v>
      </c>
      <c r="E22" s="419">
        <v>0</v>
      </c>
      <c r="F22" s="419">
        <v>0</v>
      </c>
      <c r="G22" s="419">
        <v>0</v>
      </c>
      <c r="H22" s="419">
        <v>0</v>
      </c>
      <c r="I22" s="419">
        <v>0</v>
      </c>
      <c r="J22" s="420">
        <v>0</v>
      </c>
      <c r="K22" s="420">
        <v>0</v>
      </c>
      <c r="L22" s="419">
        <v>0</v>
      </c>
      <c r="M22" s="419">
        <v>0</v>
      </c>
      <c r="N22" s="419">
        <v>0</v>
      </c>
      <c r="O22" s="420">
        <v>0</v>
      </c>
      <c r="P22" s="420">
        <v>0</v>
      </c>
      <c r="Q22" s="419">
        <v>0</v>
      </c>
      <c r="R22" s="420">
        <v>0</v>
      </c>
      <c r="S22" s="420">
        <v>0</v>
      </c>
      <c r="T22" s="420">
        <v>0</v>
      </c>
      <c r="U22" s="420">
        <v>0</v>
      </c>
      <c r="V22" s="421"/>
    </row>
    <row r="23" spans="1:22" ht="15" thickBot="1">
      <c r="A23" s="416"/>
      <c r="B23" s="428" t="s">
        <v>604</v>
      </c>
      <c r="C23" s="429">
        <v>0</v>
      </c>
      <c r="D23" s="430">
        <v>0</v>
      </c>
      <c r="E23" s="430">
        <v>0</v>
      </c>
      <c r="F23" s="430">
        <v>0</v>
      </c>
      <c r="G23" s="430">
        <v>0</v>
      </c>
      <c r="H23" s="430">
        <v>0</v>
      </c>
      <c r="I23" s="430">
        <v>0</v>
      </c>
      <c r="J23" s="431">
        <v>0</v>
      </c>
      <c r="K23" s="431">
        <v>0</v>
      </c>
      <c r="L23" s="430">
        <v>0</v>
      </c>
      <c r="M23" s="430">
        <v>0</v>
      </c>
      <c r="N23" s="430">
        <v>0</v>
      </c>
      <c r="O23" s="431">
        <v>0</v>
      </c>
      <c r="P23" s="431">
        <v>0</v>
      </c>
      <c r="Q23" s="430">
        <v>0</v>
      </c>
      <c r="R23" s="431">
        <v>0</v>
      </c>
      <c r="S23" s="431">
        <v>0</v>
      </c>
      <c r="T23" s="431">
        <v>0</v>
      </c>
      <c r="U23" s="431">
        <v>0</v>
      </c>
      <c r="V23" s="421"/>
    </row>
    <row r="24" spans="1:22" ht="15" thickTop="1">
      <c r="A24" s="416"/>
      <c r="B24" s="417" t="s">
        <v>605</v>
      </c>
      <c r="C24" s="418">
        <v>0.71175837175442858</v>
      </c>
      <c r="D24" s="419">
        <v>0.69230128832185156</v>
      </c>
      <c r="E24" s="419">
        <v>0.41378884497934254</v>
      </c>
      <c r="F24" s="419">
        <v>0.62746546181249452</v>
      </c>
      <c r="G24" s="419">
        <v>9.7507875509227959E-2</v>
      </c>
      <c r="H24" s="419">
        <v>1.2626262626262626E-2</v>
      </c>
      <c r="I24" s="419">
        <v>0</v>
      </c>
      <c r="J24" s="420">
        <v>0.57143942754801924</v>
      </c>
      <c r="K24" s="420">
        <v>0</v>
      </c>
      <c r="L24" s="419">
        <v>0</v>
      </c>
      <c r="M24" s="419">
        <v>0</v>
      </c>
      <c r="N24" s="419">
        <v>0</v>
      </c>
      <c r="O24" s="420">
        <v>0</v>
      </c>
      <c r="P24" s="420">
        <v>0</v>
      </c>
      <c r="Q24" s="419">
        <v>0</v>
      </c>
      <c r="R24" s="420">
        <v>0</v>
      </c>
      <c r="S24" s="420">
        <v>0</v>
      </c>
      <c r="T24" s="420">
        <v>0</v>
      </c>
      <c r="U24" s="420">
        <v>0.57143942754801924</v>
      </c>
      <c r="V24" s="421"/>
    </row>
    <row r="25" spans="1:22">
      <c r="A25" s="416"/>
      <c r="B25" s="417" t="s">
        <v>606</v>
      </c>
      <c r="C25" s="418">
        <v>0.68825207137105571</v>
      </c>
      <c r="D25" s="419">
        <v>0.67262516970420039</v>
      </c>
      <c r="E25" s="419">
        <v>0.39193843825906899</v>
      </c>
      <c r="F25" s="419">
        <v>0.64786591984716257</v>
      </c>
      <c r="G25" s="419">
        <v>7.1047008547008544E-2</v>
      </c>
      <c r="H25" s="419">
        <v>6.2111801242236021E-3</v>
      </c>
      <c r="I25" s="419">
        <v>0</v>
      </c>
      <c r="J25" s="420">
        <v>0.53767397842061426</v>
      </c>
      <c r="K25" s="420">
        <v>0</v>
      </c>
      <c r="L25" s="419">
        <v>0</v>
      </c>
      <c r="M25" s="419">
        <v>0</v>
      </c>
      <c r="N25" s="419">
        <v>0</v>
      </c>
      <c r="O25" s="420">
        <v>0</v>
      </c>
      <c r="P25" s="420">
        <v>0</v>
      </c>
      <c r="Q25" s="419">
        <v>0</v>
      </c>
      <c r="R25" s="420">
        <v>0</v>
      </c>
      <c r="S25" s="420">
        <v>0</v>
      </c>
      <c r="T25" s="420">
        <v>0</v>
      </c>
      <c r="U25" s="420">
        <v>0.53767397842061426</v>
      </c>
      <c r="V25" s="421"/>
    </row>
    <row r="26" spans="1:22">
      <c r="A26" s="416"/>
      <c r="B26" s="422" t="s">
        <v>607</v>
      </c>
      <c r="C26" s="423">
        <v>-2.3506300383372869</v>
      </c>
      <c r="D26" s="424">
        <v>-1.9676118617651173</v>
      </c>
      <c r="E26" s="424">
        <v>-2.1850406720273554</v>
      </c>
      <c r="F26" s="424">
        <v>2.0400458034668056</v>
      </c>
      <c r="G26" s="424">
        <v>-2.6460866962219414</v>
      </c>
      <c r="H26" s="424">
        <v>-0.64150825020390245</v>
      </c>
      <c r="I26" s="424">
        <v>0</v>
      </c>
      <c r="J26" s="426">
        <v>-3.3765449127404978</v>
      </c>
      <c r="K26" s="426">
        <v>0</v>
      </c>
      <c r="L26" s="424">
        <v>0</v>
      </c>
      <c r="M26" s="424">
        <v>0</v>
      </c>
      <c r="N26" s="424">
        <v>0</v>
      </c>
      <c r="O26" s="426">
        <v>0</v>
      </c>
      <c r="P26" s="426">
        <v>0</v>
      </c>
      <c r="Q26" s="424">
        <v>0</v>
      </c>
      <c r="R26" s="426">
        <v>0</v>
      </c>
      <c r="S26" s="426">
        <v>0</v>
      </c>
      <c r="T26" s="426">
        <v>0</v>
      </c>
      <c r="U26" s="426">
        <v>-3.3765449127404978</v>
      </c>
      <c r="V26" s="421"/>
    </row>
    <row r="27" spans="1:22">
      <c r="A27" s="416"/>
      <c r="B27" s="394" t="s">
        <v>608</v>
      </c>
      <c r="C27" s="413">
        <v>2.8269837418102402E-2</v>
      </c>
      <c r="D27" s="414">
        <v>0</v>
      </c>
      <c r="E27" s="414">
        <v>6.915753547691755E-3</v>
      </c>
      <c r="F27" s="414">
        <v>1.9549917455904077E-3</v>
      </c>
      <c r="G27" s="414">
        <v>1.0060859956128054E-2</v>
      </c>
      <c r="H27" s="414">
        <v>0</v>
      </c>
      <c r="I27" s="414">
        <v>0</v>
      </c>
      <c r="J27" s="415">
        <v>1.7924040025632179E-2</v>
      </c>
      <c r="K27" s="415">
        <v>0</v>
      </c>
      <c r="L27" s="414">
        <v>0</v>
      </c>
      <c r="M27" s="414">
        <v>0</v>
      </c>
      <c r="N27" s="414">
        <v>0</v>
      </c>
      <c r="O27" s="415">
        <v>0</v>
      </c>
      <c r="P27" s="415">
        <v>0</v>
      </c>
      <c r="Q27" s="414">
        <v>0</v>
      </c>
      <c r="R27" s="415">
        <v>0</v>
      </c>
      <c r="S27" s="415">
        <v>0</v>
      </c>
      <c r="T27" s="415">
        <v>0</v>
      </c>
      <c r="U27" s="415">
        <v>1.7924040025632179E-2</v>
      </c>
      <c r="V27" s="421"/>
    </row>
    <row r="28" spans="1:22">
      <c r="A28" s="416"/>
      <c r="B28" s="417" t="s">
        <v>609</v>
      </c>
      <c r="C28" s="418">
        <v>5.0352565790958967E-2</v>
      </c>
      <c r="D28" s="419">
        <v>0</v>
      </c>
      <c r="E28" s="419">
        <v>8.8101779954605185E-3</v>
      </c>
      <c r="F28" s="419">
        <v>3.7775172593460986E-3</v>
      </c>
      <c r="G28" s="419">
        <v>8.8281601439496177E-3</v>
      </c>
      <c r="H28" s="419">
        <v>0</v>
      </c>
      <c r="I28" s="419">
        <v>0</v>
      </c>
      <c r="J28" s="420">
        <v>2.9295248076900517E-2</v>
      </c>
      <c r="K28" s="420">
        <v>0</v>
      </c>
      <c r="L28" s="419">
        <v>0</v>
      </c>
      <c r="M28" s="419">
        <v>0</v>
      </c>
      <c r="N28" s="419">
        <v>0</v>
      </c>
      <c r="O28" s="420">
        <v>0</v>
      </c>
      <c r="P28" s="420">
        <v>0</v>
      </c>
      <c r="Q28" s="419">
        <v>0</v>
      </c>
      <c r="R28" s="420">
        <v>0</v>
      </c>
      <c r="S28" s="420">
        <v>0</v>
      </c>
      <c r="T28" s="420">
        <v>0</v>
      </c>
      <c r="U28" s="420">
        <v>2.9295248076900517E-2</v>
      </c>
      <c r="V28" s="421"/>
    </row>
    <row r="29" spans="1:22">
      <c r="A29" s="416"/>
      <c r="B29" s="422" t="s">
        <v>610</v>
      </c>
      <c r="C29" s="423">
        <v>2.2082728372856564</v>
      </c>
      <c r="D29" s="424">
        <v>0</v>
      </c>
      <c r="E29" s="424">
        <v>0.18944244477687636</v>
      </c>
      <c r="F29" s="424">
        <v>0.18225255137556909</v>
      </c>
      <c r="G29" s="424">
        <v>-0.12326998121784359</v>
      </c>
      <c r="H29" s="424">
        <v>0</v>
      </c>
      <c r="I29" s="424">
        <v>0</v>
      </c>
      <c r="J29" s="426">
        <v>1.1371208051268338</v>
      </c>
      <c r="K29" s="426">
        <v>0</v>
      </c>
      <c r="L29" s="424">
        <v>0</v>
      </c>
      <c r="M29" s="424">
        <v>0</v>
      </c>
      <c r="N29" s="424">
        <v>0</v>
      </c>
      <c r="O29" s="426">
        <v>0</v>
      </c>
      <c r="P29" s="426">
        <v>0</v>
      </c>
      <c r="Q29" s="424">
        <v>0</v>
      </c>
      <c r="R29" s="426">
        <v>0</v>
      </c>
      <c r="S29" s="426">
        <v>0</v>
      </c>
      <c r="T29" s="426">
        <v>0</v>
      </c>
      <c r="U29" s="426">
        <v>1.1371208051268338</v>
      </c>
      <c r="V29" s="421"/>
    </row>
    <row r="30" spans="1:22">
      <c r="A30" s="416"/>
      <c r="B30" s="394" t="s">
        <v>611</v>
      </c>
      <c r="C30" s="413">
        <v>0.25840208687211841</v>
      </c>
      <c r="D30" s="414">
        <v>0.3076987116781485</v>
      </c>
      <c r="E30" s="414">
        <v>0.56333078857553442</v>
      </c>
      <c r="F30" s="414">
        <v>0.37057954644191504</v>
      </c>
      <c r="G30" s="414">
        <v>0.89243126453464394</v>
      </c>
      <c r="H30" s="414">
        <v>0.98737373737373735</v>
      </c>
      <c r="I30" s="414">
        <v>0</v>
      </c>
      <c r="J30" s="415">
        <v>0.40686564466571368</v>
      </c>
      <c r="K30" s="415">
        <v>0</v>
      </c>
      <c r="L30" s="414">
        <v>0</v>
      </c>
      <c r="M30" s="414">
        <v>0</v>
      </c>
      <c r="N30" s="414">
        <v>0</v>
      </c>
      <c r="O30" s="415">
        <v>0</v>
      </c>
      <c r="P30" s="415">
        <v>0</v>
      </c>
      <c r="Q30" s="414">
        <v>0</v>
      </c>
      <c r="R30" s="415">
        <v>0</v>
      </c>
      <c r="S30" s="415">
        <v>0</v>
      </c>
      <c r="T30" s="415">
        <v>0</v>
      </c>
      <c r="U30" s="415">
        <v>0.40686564466571368</v>
      </c>
      <c r="V30" s="421"/>
    </row>
    <row r="31" spans="1:22">
      <c r="A31" s="416"/>
      <c r="B31" s="417" t="s">
        <v>612</v>
      </c>
      <c r="C31" s="418">
        <v>0.25964570336310888</v>
      </c>
      <c r="D31" s="419">
        <v>0.32737483029579956</v>
      </c>
      <c r="E31" s="419">
        <v>0.58222832795763146</v>
      </c>
      <c r="F31" s="419">
        <v>0.34835656289349137</v>
      </c>
      <c r="G31" s="419">
        <v>0.92012483130904188</v>
      </c>
      <c r="H31" s="419">
        <v>0.99378881987577639</v>
      </c>
      <c r="I31" s="419">
        <v>0</v>
      </c>
      <c r="J31" s="420">
        <v>0.42877785903397247</v>
      </c>
      <c r="K31" s="420">
        <v>0</v>
      </c>
      <c r="L31" s="419">
        <v>0</v>
      </c>
      <c r="M31" s="419">
        <v>0</v>
      </c>
      <c r="N31" s="419">
        <v>0</v>
      </c>
      <c r="O31" s="420">
        <v>0</v>
      </c>
      <c r="P31" s="420">
        <v>0</v>
      </c>
      <c r="Q31" s="419">
        <v>0</v>
      </c>
      <c r="R31" s="420">
        <v>0</v>
      </c>
      <c r="S31" s="420">
        <v>0</v>
      </c>
      <c r="T31" s="420">
        <v>0</v>
      </c>
      <c r="U31" s="420">
        <v>0.42877785903397247</v>
      </c>
      <c r="V31" s="421"/>
    </row>
    <row r="32" spans="1:22">
      <c r="A32" s="416"/>
      <c r="B32" s="422" t="s">
        <v>613</v>
      </c>
      <c r="C32" s="423">
        <v>0.12436164909904734</v>
      </c>
      <c r="D32" s="424">
        <v>1.9676118617651062</v>
      </c>
      <c r="E32" s="424">
        <v>1.8897539382097039</v>
      </c>
      <c r="F32" s="424">
        <v>-2.2222983548423669</v>
      </c>
      <c r="G32" s="424">
        <v>2.7693566774397937</v>
      </c>
      <c r="H32" s="424">
        <v>0.64150825020390378</v>
      </c>
      <c r="I32" s="424">
        <v>0</v>
      </c>
      <c r="J32" s="426">
        <v>2.19122143682588</v>
      </c>
      <c r="K32" s="426">
        <v>0</v>
      </c>
      <c r="L32" s="424">
        <v>0</v>
      </c>
      <c r="M32" s="424">
        <v>0</v>
      </c>
      <c r="N32" s="424">
        <v>0</v>
      </c>
      <c r="O32" s="426">
        <v>0</v>
      </c>
      <c r="P32" s="426">
        <v>0</v>
      </c>
      <c r="Q32" s="424">
        <v>0</v>
      </c>
      <c r="R32" s="426">
        <v>0</v>
      </c>
      <c r="S32" s="426">
        <v>0</v>
      </c>
      <c r="T32" s="426">
        <v>0</v>
      </c>
      <c r="U32" s="426">
        <v>2.19122143682588</v>
      </c>
      <c r="V32" s="421"/>
    </row>
    <row r="33" spans="1:22">
      <c r="A33" s="416"/>
      <c r="B33" s="394" t="s">
        <v>614</v>
      </c>
      <c r="C33" s="413">
        <v>1.569703955350643E-3</v>
      </c>
      <c r="D33" s="414">
        <v>0</v>
      </c>
      <c r="E33" s="414">
        <v>1.3472247170828093E-4</v>
      </c>
      <c r="F33" s="414">
        <v>0</v>
      </c>
      <c r="G33" s="414">
        <v>0</v>
      </c>
      <c r="H33" s="414">
        <v>0</v>
      </c>
      <c r="I33" s="414">
        <v>0</v>
      </c>
      <c r="J33" s="415">
        <v>8.7494454576822597E-4</v>
      </c>
      <c r="K33" s="415">
        <v>0</v>
      </c>
      <c r="L33" s="414">
        <v>0</v>
      </c>
      <c r="M33" s="414">
        <v>0</v>
      </c>
      <c r="N33" s="414">
        <v>0</v>
      </c>
      <c r="O33" s="415">
        <v>0</v>
      </c>
      <c r="P33" s="415">
        <v>0</v>
      </c>
      <c r="Q33" s="414">
        <v>0</v>
      </c>
      <c r="R33" s="415">
        <v>0</v>
      </c>
      <c r="S33" s="415">
        <v>0</v>
      </c>
      <c r="T33" s="415">
        <v>0</v>
      </c>
      <c r="U33" s="415">
        <v>8.7494454576822597E-4</v>
      </c>
      <c r="V33" s="421"/>
    </row>
    <row r="34" spans="1:22">
      <c r="A34" s="416"/>
      <c r="B34" s="417" t="s">
        <v>615</v>
      </c>
      <c r="C34" s="418">
        <v>1.7496594748763951E-3</v>
      </c>
      <c r="D34" s="419">
        <v>0</v>
      </c>
      <c r="E34" s="419">
        <v>0</v>
      </c>
      <c r="F34" s="419">
        <v>0</v>
      </c>
      <c r="G34" s="419">
        <v>0</v>
      </c>
      <c r="H34" s="419">
        <v>0</v>
      </c>
      <c r="I34" s="419">
        <v>0</v>
      </c>
      <c r="J34" s="420">
        <v>9.0924378292342413E-4</v>
      </c>
      <c r="K34" s="420">
        <v>0</v>
      </c>
      <c r="L34" s="419">
        <v>0</v>
      </c>
      <c r="M34" s="419">
        <v>0</v>
      </c>
      <c r="N34" s="419">
        <v>0</v>
      </c>
      <c r="O34" s="420">
        <v>0</v>
      </c>
      <c r="P34" s="420">
        <v>0</v>
      </c>
      <c r="Q34" s="419">
        <v>0</v>
      </c>
      <c r="R34" s="420">
        <v>0</v>
      </c>
      <c r="S34" s="420">
        <v>0</v>
      </c>
      <c r="T34" s="420">
        <v>0</v>
      </c>
      <c r="U34" s="420">
        <v>9.0924378292342413E-4</v>
      </c>
      <c r="V34" s="421"/>
    </row>
    <row r="35" spans="1:22">
      <c r="A35" s="416"/>
      <c r="B35" s="422" t="s">
        <v>616</v>
      </c>
      <c r="C35" s="423">
        <v>1.7995551952575215E-2</v>
      </c>
      <c r="D35" s="424">
        <v>0</v>
      </c>
      <c r="E35" s="424">
        <v>-1.3472247170828093E-2</v>
      </c>
      <c r="F35" s="424">
        <v>0</v>
      </c>
      <c r="G35" s="424">
        <v>0</v>
      </c>
      <c r="H35" s="424">
        <v>0</v>
      </c>
      <c r="I35" s="424">
        <v>0</v>
      </c>
      <c r="J35" s="426">
        <v>3.4299237155198154E-3</v>
      </c>
      <c r="K35" s="426">
        <v>0</v>
      </c>
      <c r="L35" s="424">
        <v>0</v>
      </c>
      <c r="M35" s="424">
        <v>0</v>
      </c>
      <c r="N35" s="424">
        <v>0</v>
      </c>
      <c r="O35" s="426">
        <v>0</v>
      </c>
      <c r="P35" s="426">
        <v>0</v>
      </c>
      <c r="Q35" s="424">
        <v>0</v>
      </c>
      <c r="R35" s="426">
        <v>0</v>
      </c>
      <c r="S35" s="426">
        <v>0</v>
      </c>
      <c r="T35" s="426">
        <v>0</v>
      </c>
      <c r="U35" s="426">
        <v>3.4299237155198154E-3</v>
      </c>
      <c r="V35" s="421"/>
    </row>
    <row r="36" spans="1:22">
      <c r="A36" s="416"/>
      <c r="B36" s="394" t="s">
        <v>617</v>
      </c>
      <c r="C36" s="413">
        <v>0</v>
      </c>
      <c r="D36" s="414">
        <v>0</v>
      </c>
      <c r="E36" s="414">
        <v>1.5829890425723012E-2</v>
      </c>
      <c r="F36" s="414">
        <v>0</v>
      </c>
      <c r="G36" s="414">
        <v>0</v>
      </c>
      <c r="H36" s="414">
        <v>0</v>
      </c>
      <c r="I36" s="414">
        <v>0</v>
      </c>
      <c r="J36" s="415">
        <v>2.8959432148666633E-3</v>
      </c>
      <c r="K36" s="415">
        <v>0</v>
      </c>
      <c r="L36" s="414">
        <v>0</v>
      </c>
      <c r="M36" s="414">
        <v>0</v>
      </c>
      <c r="N36" s="414">
        <v>0</v>
      </c>
      <c r="O36" s="415">
        <v>0</v>
      </c>
      <c r="P36" s="415">
        <v>0</v>
      </c>
      <c r="Q36" s="414">
        <v>0</v>
      </c>
      <c r="R36" s="415">
        <v>0</v>
      </c>
      <c r="S36" s="415">
        <v>0</v>
      </c>
      <c r="T36" s="415">
        <v>0</v>
      </c>
      <c r="U36" s="415">
        <v>2.8959432148666633E-3</v>
      </c>
      <c r="V36" s="421"/>
    </row>
    <row r="37" spans="1:22">
      <c r="A37" s="416"/>
      <c r="B37" s="417" t="s">
        <v>618</v>
      </c>
      <c r="C37" s="418">
        <v>0</v>
      </c>
      <c r="D37" s="419">
        <v>0</v>
      </c>
      <c r="E37" s="419">
        <v>1.7023055787838966E-2</v>
      </c>
      <c r="F37" s="419">
        <v>0</v>
      </c>
      <c r="G37" s="419">
        <v>0</v>
      </c>
      <c r="H37" s="419">
        <v>0</v>
      </c>
      <c r="I37" s="419">
        <v>0</v>
      </c>
      <c r="J37" s="420">
        <v>3.3436706855893661E-3</v>
      </c>
      <c r="K37" s="420">
        <v>0</v>
      </c>
      <c r="L37" s="419">
        <v>0</v>
      </c>
      <c r="M37" s="419">
        <v>0</v>
      </c>
      <c r="N37" s="419">
        <v>0</v>
      </c>
      <c r="O37" s="420">
        <v>0</v>
      </c>
      <c r="P37" s="420">
        <v>0</v>
      </c>
      <c r="Q37" s="419">
        <v>0</v>
      </c>
      <c r="R37" s="420">
        <v>0</v>
      </c>
      <c r="S37" s="420">
        <v>0</v>
      </c>
      <c r="T37" s="420">
        <v>0</v>
      </c>
      <c r="U37" s="420">
        <v>3.3436706855893661E-3</v>
      </c>
      <c r="V37" s="421"/>
    </row>
    <row r="38" spans="1:22">
      <c r="A38" s="416"/>
      <c r="B38" s="422" t="s">
        <v>619</v>
      </c>
      <c r="C38" s="423">
        <v>0</v>
      </c>
      <c r="D38" s="424">
        <v>0</v>
      </c>
      <c r="E38" s="424">
        <v>0.11931653621159548</v>
      </c>
      <c r="F38" s="424">
        <v>0</v>
      </c>
      <c r="G38" s="424">
        <v>0</v>
      </c>
      <c r="H38" s="424">
        <v>0</v>
      </c>
      <c r="I38" s="424">
        <v>0</v>
      </c>
      <c r="J38" s="426">
        <v>4.4772747072270275E-2</v>
      </c>
      <c r="K38" s="426">
        <v>0</v>
      </c>
      <c r="L38" s="424">
        <v>0</v>
      </c>
      <c r="M38" s="424">
        <v>0</v>
      </c>
      <c r="N38" s="424">
        <v>0</v>
      </c>
      <c r="O38" s="426">
        <v>0</v>
      </c>
      <c r="P38" s="426">
        <v>0</v>
      </c>
      <c r="Q38" s="424">
        <v>0</v>
      </c>
      <c r="R38" s="426">
        <v>0</v>
      </c>
      <c r="S38" s="426">
        <v>0</v>
      </c>
      <c r="T38" s="426">
        <v>0</v>
      </c>
      <c r="U38" s="426">
        <v>4.4772747072270275E-2</v>
      </c>
      <c r="V38" s="421"/>
    </row>
    <row r="39" spans="1:22">
      <c r="A39" s="416"/>
      <c r="B39" s="394" t="s">
        <v>620</v>
      </c>
      <c r="C39" s="413">
        <v>0</v>
      </c>
      <c r="D39" s="414">
        <v>0</v>
      </c>
      <c r="E39" s="414">
        <v>0</v>
      </c>
      <c r="F39" s="414">
        <v>0</v>
      </c>
      <c r="G39" s="414">
        <v>0</v>
      </c>
      <c r="H39" s="414">
        <v>0</v>
      </c>
      <c r="I39" s="414">
        <v>0</v>
      </c>
      <c r="J39" s="415">
        <v>0</v>
      </c>
      <c r="K39" s="415">
        <v>0</v>
      </c>
      <c r="L39" s="414">
        <v>0</v>
      </c>
      <c r="M39" s="414">
        <v>0</v>
      </c>
      <c r="N39" s="414">
        <v>0</v>
      </c>
      <c r="O39" s="415">
        <v>0</v>
      </c>
      <c r="P39" s="415">
        <v>0</v>
      </c>
      <c r="Q39" s="414">
        <v>0</v>
      </c>
      <c r="R39" s="415">
        <v>0</v>
      </c>
      <c r="S39" s="415">
        <v>0</v>
      </c>
      <c r="T39" s="415">
        <v>0</v>
      </c>
      <c r="U39" s="415">
        <v>0</v>
      </c>
      <c r="V39" s="421"/>
    </row>
    <row r="40" spans="1:22">
      <c r="A40" s="416"/>
      <c r="B40" s="417" t="s">
        <v>621</v>
      </c>
      <c r="C40" s="418">
        <v>0</v>
      </c>
      <c r="D40" s="419">
        <v>0</v>
      </c>
      <c r="E40" s="419">
        <v>0</v>
      </c>
      <c r="F40" s="419">
        <v>0</v>
      </c>
      <c r="G40" s="419">
        <v>0</v>
      </c>
      <c r="H40" s="419">
        <v>0</v>
      </c>
      <c r="I40" s="419">
        <v>0</v>
      </c>
      <c r="J40" s="420">
        <v>0</v>
      </c>
      <c r="K40" s="420">
        <v>0</v>
      </c>
      <c r="L40" s="419">
        <v>0</v>
      </c>
      <c r="M40" s="419">
        <v>0</v>
      </c>
      <c r="N40" s="419">
        <v>0</v>
      </c>
      <c r="O40" s="420">
        <v>0</v>
      </c>
      <c r="P40" s="420">
        <v>0</v>
      </c>
      <c r="Q40" s="419">
        <v>0</v>
      </c>
      <c r="R40" s="420">
        <v>0</v>
      </c>
      <c r="S40" s="420">
        <v>0</v>
      </c>
      <c r="T40" s="420">
        <v>0</v>
      </c>
      <c r="U40" s="420">
        <v>0</v>
      </c>
      <c r="V40" s="421"/>
    </row>
    <row r="41" spans="1:22" ht="15" thickBot="1">
      <c r="A41" s="432"/>
      <c r="B41" s="433" t="s">
        <v>622</v>
      </c>
      <c r="C41" s="434">
        <v>0</v>
      </c>
      <c r="D41" s="435">
        <v>0</v>
      </c>
      <c r="E41" s="435">
        <v>0</v>
      </c>
      <c r="F41" s="435">
        <v>0</v>
      </c>
      <c r="G41" s="435">
        <v>0</v>
      </c>
      <c r="H41" s="435">
        <v>0</v>
      </c>
      <c r="I41" s="435">
        <v>0</v>
      </c>
      <c r="J41" s="436">
        <v>0</v>
      </c>
      <c r="K41" s="436">
        <v>0</v>
      </c>
      <c r="L41" s="435">
        <v>0</v>
      </c>
      <c r="M41" s="435">
        <v>0</v>
      </c>
      <c r="N41" s="435">
        <v>0</v>
      </c>
      <c r="O41" s="436">
        <v>0</v>
      </c>
      <c r="P41" s="436">
        <v>0</v>
      </c>
      <c r="Q41" s="435">
        <v>0</v>
      </c>
      <c r="R41" s="436">
        <v>0</v>
      </c>
      <c r="S41" s="436">
        <v>0</v>
      </c>
      <c r="T41" s="436">
        <v>0</v>
      </c>
      <c r="U41" s="436">
        <v>0</v>
      </c>
      <c r="V41" s="421"/>
    </row>
    <row r="42" spans="1:22">
      <c r="A42" s="437" t="s">
        <v>81</v>
      </c>
      <c r="B42" s="417" t="s">
        <v>587</v>
      </c>
      <c r="C42" s="418">
        <v>0.89150451108744633</v>
      </c>
      <c r="D42" s="419">
        <v>0.51968561846672812</v>
      </c>
      <c r="E42" s="419">
        <v>0.72733086489682297</v>
      </c>
      <c r="F42" s="419">
        <v>0.73255575304855614</v>
      </c>
      <c r="G42" s="419">
        <v>0</v>
      </c>
      <c r="H42" s="419">
        <v>0.71463441069996314</v>
      </c>
      <c r="I42" s="419">
        <v>0.64987289114860181</v>
      </c>
      <c r="J42" s="420">
        <v>0.75675035017778258</v>
      </c>
      <c r="K42" s="420">
        <v>0</v>
      </c>
      <c r="L42" s="419">
        <v>0.60777673040667923</v>
      </c>
      <c r="M42" s="419">
        <v>0.62943070349641927</v>
      </c>
      <c r="N42" s="419">
        <v>0.60894290292766284</v>
      </c>
      <c r="O42" s="420">
        <v>0.6130631408663122</v>
      </c>
      <c r="P42" s="420">
        <v>0</v>
      </c>
      <c r="Q42" s="419">
        <v>0</v>
      </c>
      <c r="R42" s="420">
        <v>0</v>
      </c>
      <c r="S42" s="420">
        <v>0</v>
      </c>
      <c r="T42" s="420">
        <v>0</v>
      </c>
      <c r="U42" s="420">
        <v>0.71251401531584635</v>
      </c>
      <c r="V42" s="421"/>
    </row>
    <row r="43" spans="1:22">
      <c r="A43" s="416"/>
      <c r="B43" s="417" t="s">
        <v>588</v>
      </c>
      <c r="C43" s="418">
        <v>0.88511741557445767</v>
      </c>
      <c r="D43" s="419">
        <v>0.56559656143471171</v>
      </c>
      <c r="E43" s="419">
        <v>0.71641295622585721</v>
      </c>
      <c r="F43" s="419">
        <v>0.72370171566554131</v>
      </c>
      <c r="G43" s="419">
        <v>0</v>
      </c>
      <c r="H43" s="419">
        <v>0.67936266135991408</v>
      </c>
      <c r="I43" s="419">
        <v>0.55837004405286339</v>
      </c>
      <c r="J43" s="420">
        <v>0.75350220796541834</v>
      </c>
      <c r="K43" s="420">
        <v>0</v>
      </c>
      <c r="L43" s="419">
        <v>0.5961929477232597</v>
      </c>
      <c r="M43" s="419">
        <v>0.6236735435013645</v>
      </c>
      <c r="N43" s="419">
        <v>0.57810571868079852</v>
      </c>
      <c r="O43" s="420">
        <v>0.59020993634799734</v>
      </c>
      <c r="P43" s="420">
        <v>0</v>
      </c>
      <c r="Q43" s="419">
        <v>0</v>
      </c>
      <c r="R43" s="420">
        <v>0</v>
      </c>
      <c r="S43" s="420">
        <v>0</v>
      </c>
      <c r="T43" s="420">
        <v>0</v>
      </c>
      <c r="U43" s="420">
        <v>0.7034846869569148</v>
      </c>
      <c r="V43" s="421"/>
    </row>
    <row r="44" spans="1:22">
      <c r="A44" s="416"/>
      <c r="B44" s="422" t="s">
        <v>589</v>
      </c>
      <c r="C44" s="423">
        <v>-0.63870955129886609</v>
      </c>
      <c r="D44" s="424">
        <v>4.5910942967983592</v>
      </c>
      <c r="E44" s="424">
        <v>-1.0917908670965759</v>
      </c>
      <c r="F44" s="424">
        <v>-0.88540373830148233</v>
      </c>
      <c r="G44" s="424">
        <v>0</v>
      </c>
      <c r="H44" s="424">
        <v>-3.5271749340049063</v>
      </c>
      <c r="I44" s="424">
        <v>-9.1502847095738424</v>
      </c>
      <c r="J44" s="426">
        <v>-0.32481422123642467</v>
      </c>
      <c r="K44" s="426">
        <v>0</v>
      </c>
      <c r="L44" s="424">
        <v>-1.158378268341953</v>
      </c>
      <c r="M44" s="424">
        <v>-0.57571599950547725</v>
      </c>
      <c r="N44" s="424">
        <v>-3.0837184246864324</v>
      </c>
      <c r="O44" s="426">
        <v>-2.2853204518314851</v>
      </c>
      <c r="P44" s="426">
        <v>0</v>
      </c>
      <c r="Q44" s="424">
        <v>0</v>
      </c>
      <c r="R44" s="426">
        <v>0</v>
      </c>
      <c r="S44" s="426">
        <v>0</v>
      </c>
      <c r="T44" s="426">
        <v>0</v>
      </c>
      <c r="U44" s="426">
        <v>-0.90293283589315543</v>
      </c>
      <c r="V44" s="421"/>
    </row>
    <row r="45" spans="1:22">
      <c r="A45" s="416"/>
      <c r="B45" s="394" t="s">
        <v>590</v>
      </c>
      <c r="C45" s="413">
        <v>1.2610384540011879E-2</v>
      </c>
      <c r="D45" s="414">
        <v>0.12386985428229619</v>
      </c>
      <c r="E45" s="414">
        <v>5.030233344252924E-2</v>
      </c>
      <c r="F45" s="414">
        <v>5.6374570646344248E-2</v>
      </c>
      <c r="G45" s="414">
        <v>0</v>
      </c>
      <c r="H45" s="414">
        <v>5.4531659838286617E-2</v>
      </c>
      <c r="I45" s="414">
        <v>4.5181418996995612E-2</v>
      </c>
      <c r="J45" s="415">
        <v>4.6858237727381326E-2</v>
      </c>
      <c r="K45" s="415">
        <v>0</v>
      </c>
      <c r="L45" s="414">
        <v>0.10517775383786696</v>
      </c>
      <c r="M45" s="414">
        <v>5.9281659344847644E-2</v>
      </c>
      <c r="N45" s="414">
        <v>0.13056292513614332</v>
      </c>
      <c r="O45" s="415">
        <v>0.11162237650290259</v>
      </c>
      <c r="P45" s="415">
        <v>0</v>
      </c>
      <c r="Q45" s="414">
        <v>0</v>
      </c>
      <c r="R45" s="415">
        <v>0</v>
      </c>
      <c r="S45" s="415">
        <v>0</v>
      </c>
      <c r="T45" s="415">
        <v>0</v>
      </c>
      <c r="U45" s="415">
        <v>6.6796881839457922E-2</v>
      </c>
      <c r="V45" s="421"/>
    </row>
    <row r="46" spans="1:22">
      <c r="A46" s="416"/>
      <c r="B46" s="417" t="s">
        <v>591</v>
      </c>
      <c r="C46" s="418">
        <v>1.3621161356536994E-2</v>
      </c>
      <c r="D46" s="419">
        <v>1.2947976878612717E-2</v>
      </c>
      <c r="E46" s="419">
        <v>4.9891758146571506E-2</v>
      </c>
      <c r="F46" s="419">
        <v>6.9845505509970235E-2</v>
      </c>
      <c r="G46" s="419">
        <v>0</v>
      </c>
      <c r="H46" s="419">
        <v>7.0654949544758108E-2</v>
      </c>
      <c r="I46" s="419">
        <v>0.17526031237484982</v>
      </c>
      <c r="J46" s="420">
        <v>4.1265456233578197E-2</v>
      </c>
      <c r="K46" s="420">
        <v>0</v>
      </c>
      <c r="L46" s="419">
        <v>9.6206324575953767E-2</v>
      </c>
      <c r="M46" s="419">
        <v>6.0914193551832606E-2</v>
      </c>
      <c r="N46" s="419">
        <v>0.11580708960900654</v>
      </c>
      <c r="O46" s="420">
        <v>0.10157821203474199</v>
      </c>
      <c r="P46" s="420">
        <v>0</v>
      </c>
      <c r="Q46" s="419">
        <v>0</v>
      </c>
      <c r="R46" s="420">
        <v>0</v>
      </c>
      <c r="S46" s="420">
        <v>0</v>
      </c>
      <c r="T46" s="420">
        <v>0</v>
      </c>
      <c r="U46" s="420">
        <v>5.9739658965188763E-2</v>
      </c>
      <c r="V46" s="421"/>
    </row>
    <row r="47" spans="1:22">
      <c r="A47" s="416"/>
      <c r="B47" s="422" t="s">
        <v>592</v>
      </c>
      <c r="C47" s="423">
        <v>0.10107768165251146</v>
      </c>
      <c r="D47" s="424">
        <v>-11.092187740368347</v>
      </c>
      <c r="E47" s="424">
        <v>-4.1057529595773384E-2</v>
      </c>
      <c r="F47" s="424">
        <v>1.3470934863625987</v>
      </c>
      <c r="G47" s="424">
        <v>0</v>
      </c>
      <c r="H47" s="424">
        <v>1.6123289706471491</v>
      </c>
      <c r="I47" s="424">
        <v>13.007889337785421</v>
      </c>
      <c r="J47" s="426">
        <v>-0.55927814938031284</v>
      </c>
      <c r="K47" s="426">
        <v>0</v>
      </c>
      <c r="L47" s="424">
        <v>-0.89714292619131886</v>
      </c>
      <c r="M47" s="424">
        <v>0.16325342069849619</v>
      </c>
      <c r="N47" s="424">
        <v>-1.4755835527136774</v>
      </c>
      <c r="O47" s="426">
        <v>-1.0044164468160601</v>
      </c>
      <c r="P47" s="426">
        <v>0</v>
      </c>
      <c r="Q47" s="424">
        <v>0</v>
      </c>
      <c r="R47" s="426">
        <v>0</v>
      </c>
      <c r="S47" s="426">
        <v>0</v>
      </c>
      <c r="T47" s="426">
        <v>0</v>
      </c>
      <c r="U47" s="426">
        <v>-0.7057222874269159</v>
      </c>
      <c r="V47" s="421"/>
    </row>
    <row r="48" spans="1:22">
      <c r="A48" s="416"/>
      <c r="B48" s="394" t="s">
        <v>593</v>
      </c>
      <c r="C48" s="413">
        <v>8.9096065882081285E-2</v>
      </c>
      <c r="D48" s="414">
        <v>0.35597383749436151</v>
      </c>
      <c r="E48" s="414">
        <v>0.21791761234235657</v>
      </c>
      <c r="F48" s="414">
        <v>0.20817311229606911</v>
      </c>
      <c r="G48" s="414">
        <v>0</v>
      </c>
      <c r="H48" s="414">
        <v>0.23083392946175024</v>
      </c>
      <c r="I48" s="414">
        <v>0.23908019412988213</v>
      </c>
      <c r="J48" s="415">
        <v>0.19177140769126266</v>
      </c>
      <c r="K48" s="415">
        <v>0</v>
      </c>
      <c r="L48" s="414">
        <v>0.28701858335577701</v>
      </c>
      <c r="M48" s="414">
        <v>0.31032978275260276</v>
      </c>
      <c r="N48" s="414">
        <v>0.24135764297540444</v>
      </c>
      <c r="O48" s="415">
        <v>0.26298478350619697</v>
      </c>
      <c r="P48" s="415">
        <v>0</v>
      </c>
      <c r="Q48" s="414">
        <v>0</v>
      </c>
      <c r="R48" s="415">
        <v>0</v>
      </c>
      <c r="S48" s="415">
        <v>0</v>
      </c>
      <c r="T48" s="415">
        <v>0</v>
      </c>
      <c r="U48" s="415">
        <v>0.21369554940362359</v>
      </c>
      <c r="V48" s="421"/>
    </row>
    <row r="49" spans="1:22">
      <c r="A49" s="416"/>
      <c r="B49" s="417" t="s">
        <v>594</v>
      </c>
      <c r="C49" s="418">
        <v>9.6534070058506408E-2</v>
      </c>
      <c r="D49" s="419">
        <v>0.42145546168667558</v>
      </c>
      <c r="E49" s="419">
        <v>0.2284994121746628</v>
      </c>
      <c r="F49" s="419">
        <v>0.20645277882448843</v>
      </c>
      <c r="G49" s="419">
        <v>0</v>
      </c>
      <c r="H49" s="419">
        <v>0.24992955638131131</v>
      </c>
      <c r="I49" s="419">
        <v>0.21255506607929514</v>
      </c>
      <c r="J49" s="420">
        <v>0.2013391438687816</v>
      </c>
      <c r="K49" s="420">
        <v>0</v>
      </c>
      <c r="L49" s="419">
        <v>0.30760072770078656</v>
      </c>
      <c r="M49" s="419">
        <v>0.31467526849562344</v>
      </c>
      <c r="N49" s="419">
        <v>0.29168821948374662</v>
      </c>
      <c r="O49" s="420">
        <v>0.29888757110894953</v>
      </c>
      <c r="P49" s="420">
        <v>0</v>
      </c>
      <c r="Q49" s="419">
        <v>0</v>
      </c>
      <c r="R49" s="420">
        <v>0</v>
      </c>
      <c r="S49" s="420">
        <v>0</v>
      </c>
      <c r="T49" s="420">
        <v>0</v>
      </c>
      <c r="U49" s="420">
        <v>0.23121888318836764</v>
      </c>
      <c r="V49" s="421"/>
    </row>
    <row r="50" spans="1:22">
      <c r="A50" s="416"/>
      <c r="B50" s="422" t="s">
        <v>595</v>
      </c>
      <c r="C50" s="423">
        <v>0.74380041764251226</v>
      </c>
      <c r="D50" s="424">
        <v>6.5481624192314065</v>
      </c>
      <c r="E50" s="424">
        <v>1.0581799832306227</v>
      </c>
      <c r="F50" s="424">
        <v>-0.17203334715806817</v>
      </c>
      <c r="G50" s="424">
        <v>0</v>
      </c>
      <c r="H50" s="424">
        <v>1.9095626919561071</v>
      </c>
      <c r="I50" s="424">
        <v>-2.6525128050586986</v>
      </c>
      <c r="J50" s="426">
        <v>0.95677361775189373</v>
      </c>
      <c r="K50" s="426">
        <v>0</v>
      </c>
      <c r="L50" s="424">
        <v>2.0582144345009548</v>
      </c>
      <c r="M50" s="424">
        <v>0.43454857430206828</v>
      </c>
      <c r="N50" s="424">
        <v>5.0330576508342189</v>
      </c>
      <c r="O50" s="426">
        <v>3.5902787602752562</v>
      </c>
      <c r="P50" s="426">
        <v>0</v>
      </c>
      <c r="Q50" s="424">
        <v>0</v>
      </c>
      <c r="R50" s="426">
        <v>0</v>
      </c>
      <c r="S50" s="426">
        <v>0</v>
      </c>
      <c r="T50" s="426">
        <v>0</v>
      </c>
      <c r="U50" s="426">
        <v>1.7523333784744048</v>
      </c>
      <c r="V50" s="421"/>
    </row>
    <row r="51" spans="1:22">
      <c r="A51" s="416"/>
      <c r="B51" s="394" t="s">
        <v>596</v>
      </c>
      <c r="C51" s="413">
        <v>5.4081398581426682E-4</v>
      </c>
      <c r="D51" s="414">
        <v>0</v>
      </c>
      <c r="E51" s="414">
        <v>1.7815029097880859E-3</v>
      </c>
      <c r="F51" s="414">
        <v>1.1617235330336087E-5</v>
      </c>
      <c r="G51" s="414">
        <v>0</v>
      </c>
      <c r="H51" s="414">
        <v>0</v>
      </c>
      <c r="I51" s="414">
        <v>6.5865495724520454E-2</v>
      </c>
      <c r="J51" s="415">
        <v>1.3416845073853548E-3</v>
      </c>
      <c r="K51" s="415">
        <v>0</v>
      </c>
      <c r="L51" s="414">
        <v>0</v>
      </c>
      <c r="M51" s="414">
        <v>2.8585183847866643E-4</v>
      </c>
      <c r="N51" s="414">
        <v>1.6842539213926179E-2</v>
      </c>
      <c r="O51" s="415">
        <v>1.0730956212559085E-2</v>
      </c>
      <c r="P51" s="415">
        <v>0</v>
      </c>
      <c r="Q51" s="414">
        <v>0</v>
      </c>
      <c r="R51" s="415">
        <v>0</v>
      </c>
      <c r="S51" s="415">
        <v>0</v>
      </c>
      <c r="T51" s="415">
        <v>0</v>
      </c>
      <c r="U51" s="415">
        <v>4.232317356683871E-3</v>
      </c>
      <c r="V51" s="421"/>
    </row>
    <row r="52" spans="1:22">
      <c r="A52" s="416"/>
      <c r="B52" s="417" t="s">
        <v>597</v>
      </c>
      <c r="C52" s="418">
        <v>7.7570955047631554E-4</v>
      </c>
      <c r="D52" s="419">
        <v>0</v>
      </c>
      <c r="E52" s="419">
        <v>1.6054442280048189E-3</v>
      </c>
      <c r="F52" s="419">
        <v>0</v>
      </c>
      <c r="G52" s="419">
        <v>0</v>
      </c>
      <c r="H52" s="419">
        <v>5.2832714016519031E-5</v>
      </c>
      <c r="I52" s="419">
        <v>5.3814577492991587E-2</v>
      </c>
      <c r="J52" s="420">
        <v>1.3418075065116429E-3</v>
      </c>
      <c r="K52" s="420">
        <v>0</v>
      </c>
      <c r="L52" s="419">
        <v>0</v>
      </c>
      <c r="M52" s="419">
        <v>7.369944511794582E-4</v>
      </c>
      <c r="N52" s="419">
        <v>1.4398972226448264E-2</v>
      </c>
      <c r="O52" s="420">
        <v>9.32428050831117E-3</v>
      </c>
      <c r="P52" s="420">
        <v>0</v>
      </c>
      <c r="Q52" s="419">
        <v>0</v>
      </c>
      <c r="R52" s="420">
        <v>0</v>
      </c>
      <c r="S52" s="420">
        <v>0</v>
      </c>
      <c r="T52" s="420">
        <v>0</v>
      </c>
      <c r="U52" s="420">
        <v>3.7868926725919973E-3</v>
      </c>
      <c r="V52" s="421"/>
    </row>
    <row r="53" spans="1:22">
      <c r="A53" s="416"/>
      <c r="B53" s="422" t="s">
        <v>598</v>
      </c>
      <c r="C53" s="423">
        <v>2.3489556466204872E-2</v>
      </c>
      <c r="D53" s="424">
        <v>0</v>
      </c>
      <c r="E53" s="424">
        <v>-1.7605868178326697E-2</v>
      </c>
      <c r="F53" s="424">
        <v>-1.1617235330336087E-3</v>
      </c>
      <c r="G53" s="424">
        <v>0</v>
      </c>
      <c r="H53" s="424">
        <v>0</v>
      </c>
      <c r="I53" s="424">
        <v>-1.2050918231528867</v>
      </c>
      <c r="J53" s="426">
        <v>1.2299912628818341E-5</v>
      </c>
      <c r="K53" s="426">
        <v>0</v>
      </c>
      <c r="L53" s="424">
        <v>0</v>
      </c>
      <c r="M53" s="424">
        <v>4.5114261270079177E-2</v>
      </c>
      <c r="N53" s="424">
        <v>-0.24435669874779148</v>
      </c>
      <c r="O53" s="426">
        <v>-0.14066757042479147</v>
      </c>
      <c r="P53" s="426">
        <v>0</v>
      </c>
      <c r="Q53" s="424">
        <v>0</v>
      </c>
      <c r="R53" s="426">
        <v>0</v>
      </c>
      <c r="S53" s="426">
        <v>0</v>
      </c>
      <c r="T53" s="426">
        <v>0</v>
      </c>
      <c r="U53" s="426">
        <v>-4.4542468409187366E-2</v>
      </c>
      <c r="V53" s="421"/>
    </row>
    <row r="54" spans="1:22">
      <c r="A54" s="416"/>
      <c r="B54" s="394" t="s">
        <v>599</v>
      </c>
      <c r="C54" s="413">
        <v>4.1016791058947203E-5</v>
      </c>
      <c r="D54" s="414">
        <v>0</v>
      </c>
      <c r="E54" s="414">
        <v>2.5515298085243281E-3</v>
      </c>
      <c r="F54" s="414">
        <v>0</v>
      </c>
      <c r="G54" s="414">
        <v>0</v>
      </c>
      <c r="H54" s="414">
        <v>0</v>
      </c>
      <c r="I54" s="414">
        <v>0</v>
      </c>
      <c r="J54" s="415">
        <v>9.2849814721989289E-4</v>
      </c>
      <c r="K54" s="415">
        <v>0</v>
      </c>
      <c r="L54" s="414">
        <v>0</v>
      </c>
      <c r="M54" s="414">
        <v>0</v>
      </c>
      <c r="N54" s="414">
        <v>0</v>
      </c>
      <c r="O54" s="415">
        <v>0</v>
      </c>
      <c r="P54" s="415">
        <v>0</v>
      </c>
      <c r="Q54" s="414">
        <v>0</v>
      </c>
      <c r="R54" s="415">
        <v>0</v>
      </c>
      <c r="S54" s="415">
        <v>0</v>
      </c>
      <c r="T54" s="415">
        <v>0</v>
      </c>
      <c r="U54" s="415">
        <v>6.4264559878552307E-4</v>
      </c>
      <c r="V54" s="421"/>
    </row>
    <row r="55" spans="1:22">
      <c r="A55" s="416"/>
      <c r="B55" s="417" t="s">
        <v>600</v>
      </c>
      <c r="C55" s="418">
        <v>0</v>
      </c>
      <c r="D55" s="419">
        <v>0</v>
      </c>
      <c r="E55" s="419">
        <v>3.5904292249036933E-3</v>
      </c>
      <c r="F55" s="419">
        <v>0</v>
      </c>
      <c r="G55" s="419">
        <v>0</v>
      </c>
      <c r="H55" s="419">
        <v>0</v>
      </c>
      <c r="I55" s="419">
        <v>0</v>
      </c>
      <c r="J55" s="420">
        <v>1.291388649478593E-3</v>
      </c>
      <c r="K55" s="420">
        <v>0</v>
      </c>
      <c r="L55" s="419">
        <v>0</v>
      </c>
      <c r="M55" s="419">
        <v>0</v>
      </c>
      <c r="N55" s="419">
        <v>0</v>
      </c>
      <c r="O55" s="420">
        <v>0</v>
      </c>
      <c r="P55" s="420">
        <v>0</v>
      </c>
      <c r="Q55" s="419">
        <v>0</v>
      </c>
      <c r="R55" s="420">
        <v>0</v>
      </c>
      <c r="S55" s="420">
        <v>0</v>
      </c>
      <c r="T55" s="420">
        <v>0</v>
      </c>
      <c r="U55" s="420">
        <v>8.9582762098869674E-4</v>
      </c>
      <c r="V55" s="421"/>
    </row>
    <row r="56" spans="1:22">
      <c r="A56" s="416"/>
      <c r="B56" s="422" t="s">
        <v>601</v>
      </c>
      <c r="C56" s="423">
        <v>-4.1016791058947205E-3</v>
      </c>
      <c r="D56" s="424">
        <v>0</v>
      </c>
      <c r="E56" s="424">
        <v>0.10388994163793652</v>
      </c>
      <c r="F56" s="424">
        <v>0</v>
      </c>
      <c r="G56" s="424">
        <v>0</v>
      </c>
      <c r="H56" s="424">
        <v>0</v>
      </c>
      <c r="I56" s="424">
        <v>0</v>
      </c>
      <c r="J56" s="426">
        <v>3.6289050225870007E-2</v>
      </c>
      <c r="K56" s="426">
        <v>0</v>
      </c>
      <c r="L56" s="424">
        <v>0</v>
      </c>
      <c r="M56" s="424">
        <v>0</v>
      </c>
      <c r="N56" s="424">
        <v>0</v>
      </c>
      <c r="O56" s="426">
        <v>0</v>
      </c>
      <c r="P56" s="426">
        <v>0</v>
      </c>
      <c r="Q56" s="424">
        <v>0</v>
      </c>
      <c r="R56" s="426">
        <v>0</v>
      </c>
      <c r="S56" s="426">
        <v>0</v>
      </c>
      <c r="T56" s="426">
        <v>0</v>
      </c>
      <c r="U56" s="426">
        <v>2.5318202220317367E-2</v>
      </c>
      <c r="V56" s="421"/>
    </row>
    <row r="57" spans="1:22">
      <c r="A57" s="416"/>
      <c r="B57" s="394" t="s">
        <v>602</v>
      </c>
      <c r="C57" s="413">
        <v>6.2072077135873439E-3</v>
      </c>
      <c r="D57" s="414">
        <v>4.706897566141717E-4</v>
      </c>
      <c r="E57" s="414">
        <v>1.1615659997885688E-4</v>
      </c>
      <c r="F57" s="414">
        <v>2.884946773700128E-3</v>
      </c>
      <c r="G57" s="414">
        <v>0</v>
      </c>
      <c r="H57" s="414">
        <v>0</v>
      </c>
      <c r="I57" s="414">
        <v>0</v>
      </c>
      <c r="J57" s="415">
        <v>2.3498217489682054E-3</v>
      </c>
      <c r="K57" s="415">
        <v>0</v>
      </c>
      <c r="L57" s="414">
        <v>2.6932399676811204E-5</v>
      </c>
      <c r="M57" s="414">
        <v>6.7200256765160182E-4</v>
      </c>
      <c r="N57" s="414">
        <v>2.2939897468632182E-3</v>
      </c>
      <c r="O57" s="415">
        <v>1.5987429120291187E-3</v>
      </c>
      <c r="P57" s="415">
        <v>0</v>
      </c>
      <c r="Q57" s="414">
        <v>0</v>
      </c>
      <c r="R57" s="415">
        <v>0</v>
      </c>
      <c r="S57" s="415">
        <v>0</v>
      </c>
      <c r="T57" s="415">
        <v>0</v>
      </c>
      <c r="U57" s="415">
        <v>2.1185904856027282E-3</v>
      </c>
      <c r="V57" s="421"/>
    </row>
    <row r="58" spans="1:22">
      <c r="A58" s="416"/>
      <c r="B58" s="417" t="s">
        <v>603</v>
      </c>
      <c r="C58" s="418">
        <v>3.951643460022615E-3</v>
      </c>
      <c r="D58" s="419">
        <v>0</v>
      </c>
      <c r="E58" s="419">
        <v>0</v>
      </c>
      <c r="F58" s="419">
        <v>0</v>
      </c>
      <c r="G58" s="419">
        <v>0</v>
      </c>
      <c r="H58" s="419">
        <v>0</v>
      </c>
      <c r="I58" s="419">
        <v>0</v>
      </c>
      <c r="J58" s="420">
        <v>1.2599957762315995E-3</v>
      </c>
      <c r="K58" s="420">
        <v>0</v>
      </c>
      <c r="L58" s="419">
        <v>0</v>
      </c>
      <c r="M58" s="419">
        <v>0</v>
      </c>
      <c r="N58" s="419">
        <v>0</v>
      </c>
      <c r="O58" s="420">
        <v>0</v>
      </c>
      <c r="P58" s="420">
        <v>0</v>
      </c>
      <c r="Q58" s="419">
        <v>0</v>
      </c>
      <c r="R58" s="420">
        <v>0</v>
      </c>
      <c r="S58" s="420">
        <v>0</v>
      </c>
      <c r="T58" s="420">
        <v>0</v>
      </c>
      <c r="U58" s="420">
        <v>8.7405059594808756E-4</v>
      </c>
      <c r="V58" s="421"/>
    </row>
    <row r="59" spans="1:22" ht="15" thickBot="1">
      <c r="A59" s="416"/>
      <c r="B59" s="428" t="s">
        <v>604</v>
      </c>
      <c r="C59" s="429">
        <v>-0.22555642535647288</v>
      </c>
      <c r="D59" s="430">
        <v>-4.706897566141717E-2</v>
      </c>
      <c r="E59" s="430">
        <v>-1.1615659997885688E-2</v>
      </c>
      <c r="F59" s="430">
        <v>-0.28849467737001283</v>
      </c>
      <c r="G59" s="430">
        <v>0</v>
      </c>
      <c r="H59" s="430">
        <v>0</v>
      </c>
      <c r="I59" s="430">
        <v>0</v>
      </c>
      <c r="J59" s="431">
        <v>-0.10898259727366059</v>
      </c>
      <c r="K59" s="431">
        <v>0</v>
      </c>
      <c r="L59" s="430">
        <v>-2.6932399676811206E-3</v>
      </c>
      <c r="M59" s="430">
        <v>-6.7200256765160185E-2</v>
      </c>
      <c r="N59" s="430">
        <v>-0.22939897468632181</v>
      </c>
      <c r="O59" s="431">
        <v>-0.15987429120291186</v>
      </c>
      <c r="P59" s="431">
        <v>0</v>
      </c>
      <c r="Q59" s="430">
        <v>0</v>
      </c>
      <c r="R59" s="431">
        <v>0</v>
      </c>
      <c r="S59" s="431">
        <v>0</v>
      </c>
      <c r="T59" s="431">
        <v>0</v>
      </c>
      <c r="U59" s="431">
        <v>-0.12445398896546406</v>
      </c>
      <c r="V59" s="421"/>
    </row>
    <row r="60" spans="1:22" ht="15" thickTop="1">
      <c r="A60" s="416"/>
      <c r="B60" s="417" t="s">
        <v>605</v>
      </c>
      <c r="C60" s="418">
        <v>0.67103715972740263</v>
      </c>
      <c r="D60" s="419">
        <v>0.69201930737147943</v>
      </c>
      <c r="E60" s="419">
        <v>0.31352415966386554</v>
      </c>
      <c r="F60" s="419">
        <v>0.15043516930309384</v>
      </c>
      <c r="G60" s="419">
        <v>0</v>
      </c>
      <c r="H60" s="419">
        <v>0.6728538283062645</v>
      </c>
      <c r="I60" s="419">
        <v>0</v>
      </c>
      <c r="J60" s="420">
        <v>0.44341430872614263</v>
      </c>
      <c r="K60" s="420">
        <v>0</v>
      </c>
      <c r="L60" s="419">
        <v>0</v>
      </c>
      <c r="M60" s="419">
        <v>0</v>
      </c>
      <c r="N60" s="419">
        <v>0</v>
      </c>
      <c r="O60" s="420">
        <v>0</v>
      </c>
      <c r="P60" s="420">
        <v>0</v>
      </c>
      <c r="Q60" s="419">
        <v>0</v>
      </c>
      <c r="R60" s="420">
        <v>0</v>
      </c>
      <c r="S60" s="420">
        <v>0</v>
      </c>
      <c r="T60" s="420">
        <v>0</v>
      </c>
      <c r="U60" s="420">
        <v>0.44341430872614263</v>
      </c>
      <c r="V60" s="421"/>
    </row>
    <row r="61" spans="1:22">
      <c r="A61" s="416"/>
      <c r="B61" s="417" t="s">
        <v>606</v>
      </c>
      <c r="C61" s="418">
        <v>0.66558841247806388</v>
      </c>
      <c r="D61" s="419">
        <v>0.44144709831670975</v>
      </c>
      <c r="E61" s="419">
        <v>0.29901739363826207</v>
      </c>
      <c r="F61" s="419">
        <v>0.16629206369305771</v>
      </c>
      <c r="G61" s="419">
        <v>0</v>
      </c>
      <c r="H61" s="419">
        <v>0.60272684532204979</v>
      </c>
      <c r="I61" s="419">
        <v>0.82660860562136484</v>
      </c>
      <c r="J61" s="420">
        <v>0.47471317812692609</v>
      </c>
      <c r="K61" s="420">
        <v>0</v>
      </c>
      <c r="L61" s="419">
        <v>0</v>
      </c>
      <c r="M61" s="419">
        <v>0</v>
      </c>
      <c r="N61" s="419">
        <v>0</v>
      </c>
      <c r="O61" s="420">
        <v>0</v>
      </c>
      <c r="P61" s="420">
        <v>0</v>
      </c>
      <c r="Q61" s="419">
        <v>0</v>
      </c>
      <c r="R61" s="420">
        <v>0</v>
      </c>
      <c r="S61" s="420">
        <v>0</v>
      </c>
      <c r="T61" s="420">
        <v>0</v>
      </c>
      <c r="U61" s="420">
        <v>0.47471317812692609</v>
      </c>
      <c r="V61" s="421"/>
    </row>
    <row r="62" spans="1:22">
      <c r="A62" s="416"/>
      <c r="B62" s="422" t="s">
        <v>607</v>
      </c>
      <c r="C62" s="423">
        <v>-0.54487472493387479</v>
      </c>
      <c r="D62" s="424">
        <v>-25.057220905476967</v>
      </c>
      <c r="E62" s="424">
        <v>-1.4506766025603468</v>
      </c>
      <c r="F62" s="424">
        <v>1.5856894389963876</v>
      </c>
      <c r="G62" s="424">
        <v>0</v>
      </c>
      <c r="H62" s="424">
        <v>-7.012698298421471</v>
      </c>
      <c r="I62" s="424">
        <v>0</v>
      </c>
      <c r="J62" s="426">
        <v>3.1298869400783467</v>
      </c>
      <c r="K62" s="426">
        <v>0</v>
      </c>
      <c r="L62" s="424">
        <v>0</v>
      </c>
      <c r="M62" s="424">
        <v>0</v>
      </c>
      <c r="N62" s="424">
        <v>0</v>
      </c>
      <c r="O62" s="426">
        <v>0</v>
      </c>
      <c r="P62" s="426">
        <v>0</v>
      </c>
      <c r="Q62" s="424">
        <v>0</v>
      </c>
      <c r="R62" s="426">
        <v>0</v>
      </c>
      <c r="S62" s="426">
        <v>0</v>
      </c>
      <c r="T62" s="426">
        <v>0</v>
      </c>
      <c r="U62" s="426">
        <v>3.1298869400783467</v>
      </c>
      <c r="V62" s="421"/>
    </row>
    <row r="63" spans="1:22">
      <c r="A63" s="416"/>
      <c r="B63" s="394" t="s">
        <v>608</v>
      </c>
      <c r="C63" s="413">
        <v>7.0298769771528994E-3</v>
      </c>
      <c r="D63" s="414">
        <v>1.5581798584750926E-2</v>
      </c>
      <c r="E63" s="414">
        <v>1.0241596638655463E-3</v>
      </c>
      <c r="F63" s="414">
        <v>8.2078648116383962E-2</v>
      </c>
      <c r="G63" s="414">
        <v>0</v>
      </c>
      <c r="H63" s="414">
        <v>0</v>
      </c>
      <c r="I63" s="414">
        <v>0</v>
      </c>
      <c r="J63" s="415">
        <v>1.2889894075725281E-2</v>
      </c>
      <c r="K63" s="415">
        <v>0</v>
      </c>
      <c r="L63" s="414">
        <v>0</v>
      </c>
      <c r="M63" s="414">
        <v>0</v>
      </c>
      <c r="N63" s="414">
        <v>0</v>
      </c>
      <c r="O63" s="415">
        <v>0</v>
      </c>
      <c r="P63" s="415">
        <v>0</v>
      </c>
      <c r="Q63" s="414">
        <v>0</v>
      </c>
      <c r="R63" s="415">
        <v>0</v>
      </c>
      <c r="S63" s="415">
        <v>0</v>
      </c>
      <c r="T63" s="415">
        <v>0</v>
      </c>
      <c r="U63" s="415">
        <v>1.2889894075725281E-2</v>
      </c>
      <c r="V63" s="421"/>
    </row>
    <row r="64" spans="1:22">
      <c r="A64" s="416"/>
      <c r="B64" s="417" t="s">
        <v>609</v>
      </c>
      <c r="C64" s="418">
        <v>7.4517404856072706E-3</v>
      </c>
      <c r="D64" s="419">
        <v>0.27169319197237179</v>
      </c>
      <c r="E64" s="419">
        <v>1.4729275908796323E-3</v>
      </c>
      <c r="F64" s="419">
        <v>2.4470543543638607E-2</v>
      </c>
      <c r="G64" s="419">
        <v>0</v>
      </c>
      <c r="H64" s="419">
        <v>0</v>
      </c>
      <c r="I64" s="419">
        <v>5.5102165108559947E-2</v>
      </c>
      <c r="J64" s="420">
        <v>4.443170882038084E-2</v>
      </c>
      <c r="K64" s="420">
        <v>0</v>
      </c>
      <c r="L64" s="419">
        <v>0</v>
      </c>
      <c r="M64" s="419">
        <v>0</v>
      </c>
      <c r="N64" s="419">
        <v>0</v>
      </c>
      <c r="O64" s="420">
        <v>0</v>
      </c>
      <c r="P64" s="420">
        <v>0</v>
      </c>
      <c r="Q64" s="419">
        <v>0</v>
      </c>
      <c r="R64" s="420">
        <v>0</v>
      </c>
      <c r="S64" s="420">
        <v>0</v>
      </c>
      <c r="T64" s="420">
        <v>0</v>
      </c>
      <c r="U64" s="420">
        <v>4.443170882038084E-2</v>
      </c>
      <c r="V64" s="421"/>
    </row>
    <row r="65" spans="1:23">
      <c r="A65" s="416"/>
      <c r="B65" s="422" t="s">
        <v>610</v>
      </c>
      <c r="C65" s="423">
        <v>4.2186350845437121E-2</v>
      </c>
      <c r="D65" s="424">
        <v>25.611139338762083</v>
      </c>
      <c r="E65" s="424">
        <v>4.4876792701408603E-2</v>
      </c>
      <c r="F65" s="424">
        <v>-5.7608104572745358</v>
      </c>
      <c r="G65" s="424">
        <v>0</v>
      </c>
      <c r="H65" s="424">
        <v>0</v>
      </c>
      <c r="I65" s="424">
        <v>0</v>
      </c>
      <c r="J65" s="426">
        <v>3.1541814744655561</v>
      </c>
      <c r="K65" s="426">
        <v>0</v>
      </c>
      <c r="L65" s="424">
        <v>0</v>
      </c>
      <c r="M65" s="424">
        <v>0</v>
      </c>
      <c r="N65" s="424">
        <v>0</v>
      </c>
      <c r="O65" s="426">
        <v>0</v>
      </c>
      <c r="P65" s="426">
        <v>0</v>
      </c>
      <c r="Q65" s="424">
        <v>0</v>
      </c>
      <c r="R65" s="426">
        <v>0</v>
      </c>
      <c r="S65" s="426">
        <v>0</v>
      </c>
      <c r="T65" s="426">
        <v>0</v>
      </c>
      <c r="U65" s="426">
        <v>3.1541814744655561</v>
      </c>
      <c r="V65" s="421"/>
    </row>
    <row r="66" spans="1:23">
      <c r="A66" s="416"/>
      <c r="B66" s="394" t="s">
        <v>611</v>
      </c>
      <c r="C66" s="413">
        <v>0.31953066720612966</v>
      </c>
      <c r="D66" s="414">
        <v>0.29162566193354889</v>
      </c>
      <c r="E66" s="414">
        <v>0.65278361344537816</v>
      </c>
      <c r="F66" s="414">
        <v>0.76720030493615399</v>
      </c>
      <c r="G66" s="414">
        <v>0</v>
      </c>
      <c r="H66" s="414">
        <v>0.3271461716937355</v>
      </c>
      <c r="I66" s="414">
        <v>0</v>
      </c>
      <c r="J66" s="415">
        <v>0.52674791324297499</v>
      </c>
      <c r="K66" s="415">
        <v>0</v>
      </c>
      <c r="L66" s="414">
        <v>0</v>
      </c>
      <c r="M66" s="414">
        <v>0</v>
      </c>
      <c r="N66" s="414">
        <v>0</v>
      </c>
      <c r="O66" s="415">
        <v>0</v>
      </c>
      <c r="P66" s="415">
        <v>0</v>
      </c>
      <c r="Q66" s="414">
        <v>0</v>
      </c>
      <c r="R66" s="415">
        <v>0</v>
      </c>
      <c r="S66" s="415">
        <v>0</v>
      </c>
      <c r="T66" s="415">
        <v>0</v>
      </c>
      <c r="U66" s="415">
        <v>0.52674791324297499</v>
      </c>
      <c r="V66" s="421"/>
    </row>
    <row r="67" spans="1:23">
      <c r="A67" s="416"/>
      <c r="B67" s="417" t="s">
        <v>612</v>
      </c>
      <c r="C67" s="418">
        <v>0.32648838366641347</v>
      </c>
      <c r="D67" s="419">
        <v>0.28685970971091845</v>
      </c>
      <c r="E67" s="419">
        <v>0.68009321995064054</v>
      </c>
      <c r="F67" s="419">
        <v>0.80923739276330364</v>
      </c>
      <c r="G67" s="419">
        <v>0</v>
      </c>
      <c r="H67" s="419">
        <v>0.39727315467795016</v>
      </c>
      <c r="I67" s="419">
        <v>0.11828922927007522</v>
      </c>
      <c r="J67" s="420">
        <v>0.47273975713405203</v>
      </c>
      <c r="K67" s="420">
        <v>0</v>
      </c>
      <c r="L67" s="419">
        <v>0</v>
      </c>
      <c r="M67" s="419">
        <v>0</v>
      </c>
      <c r="N67" s="419">
        <v>0</v>
      </c>
      <c r="O67" s="420">
        <v>0</v>
      </c>
      <c r="P67" s="420">
        <v>0</v>
      </c>
      <c r="Q67" s="419">
        <v>0</v>
      </c>
      <c r="R67" s="420">
        <v>0</v>
      </c>
      <c r="S67" s="420">
        <v>0</v>
      </c>
      <c r="T67" s="420">
        <v>0</v>
      </c>
      <c r="U67" s="420">
        <v>0.47273975713405203</v>
      </c>
      <c r="V67" s="421"/>
    </row>
    <row r="68" spans="1:23">
      <c r="A68" s="416"/>
      <c r="B68" s="422" t="s">
        <v>613</v>
      </c>
      <c r="C68" s="423">
        <v>0.69577164602838137</v>
      </c>
      <c r="D68" s="424">
        <v>-0.47659522226304318</v>
      </c>
      <c r="E68" s="424">
        <v>2.7309606505262374</v>
      </c>
      <c r="F68" s="424">
        <v>4.2037087827149655</v>
      </c>
      <c r="G68" s="424">
        <v>0</v>
      </c>
      <c r="H68" s="424">
        <v>7.0126982984214656</v>
      </c>
      <c r="I68" s="424">
        <v>0</v>
      </c>
      <c r="J68" s="426">
        <v>-5.4008156108922956</v>
      </c>
      <c r="K68" s="426">
        <v>0</v>
      </c>
      <c r="L68" s="424">
        <v>0</v>
      </c>
      <c r="M68" s="424">
        <v>0</v>
      </c>
      <c r="N68" s="424">
        <v>0</v>
      </c>
      <c r="O68" s="426">
        <v>0</v>
      </c>
      <c r="P68" s="426">
        <v>0</v>
      </c>
      <c r="Q68" s="424">
        <v>0</v>
      </c>
      <c r="R68" s="426">
        <v>0</v>
      </c>
      <c r="S68" s="426">
        <v>0</v>
      </c>
      <c r="T68" s="426">
        <v>0</v>
      </c>
      <c r="U68" s="426">
        <v>-5.4008156108922956</v>
      </c>
      <c r="V68" s="421"/>
    </row>
    <row r="69" spans="1:23">
      <c r="A69" s="416"/>
      <c r="B69" s="394" t="s">
        <v>614</v>
      </c>
      <c r="C69" s="413">
        <v>3.7930990883918526E-4</v>
      </c>
      <c r="D69" s="414">
        <v>0</v>
      </c>
      <c r="E69" s="414">
        <v>2.7895220588235296E-2</v>
      </c>
      <c r="F69" s="414">
        <v>0</v>
      </c>
      <c r="G69" s="414">
        <v>0</v>
      </c>
      <c r="H69" s="414">
        <v>0</v>
      </c>
      <c r="I69" s="414">
        <v>0</v>
      </c>
      <c r="J69" s="415">
        <v>1.3924730308010218E-2</v>
      </c>
      <c r="K69" s="415">
        <v>0</v>
      </c>
      <c r="L69" s="414">
        <v>0</v>
      </c>
      <c r="M69" s="414">
        <v>0</v>
      </c>
      <c r="N69" s="414">
        <v>0</v>
      </c>
      <c r="O69" s="415">
        <v>0</v>
      </c>
      <c r="P69" s="415">
        <v>0</v>
      </c>
      <c r="Q69" s="414">
        <v>0</v>
      </c>
      <c r="R69" s="415">
        <v>0</v>
      </c>
      <c r="S69" s="415">
        <v>0</v>
      </c>
      <c r="T69" s="415">
        <v>0</v>
      </c>
      <c r="U69" s="415">
        <v>1.3924730308010218E-2</v>
      </c>
      <c r="V69" s="421"/>
    </row>
    <row r="70" spans="1:23">
      <c r="A70" s="416"/>
      <c r="B70" s="417" t="s">
        <v>615</v>
      </c>
      <c r="C70" s="418">
        <v>4.7146336991539853E-4</v>
      </c>
      <c r="D70" s="419">
        <v>0</v>
      </c>
      <c r="E70" s="419">
        <v>1.5554115359688918E-2</v>
      </c>
      <c r="F70" s="419">
        <v>0</v>
      </c>
      <c r="G70" s="419">
        <v>0</v>
      </c>
      <c r="H70" s="419">
        <v>0</v>
      </c>
      <c r="I70" s="419">
        <v>0</v>
      </c>
      <c r="J70" s="420">
        <v>6.5203992257701748E-3</v>
      </c>
      <c r="K70" s="420">
        <v>0</v>
      </c>
      <c r="L70" s="419">
        <v>0</v>
      </c>
      <c r="M70" s="419">
        <v>0</v>
      </c>
      <c r="N70" s="419">
        <v>0</v>
      </c>
      <c r="O70" s="420">
        <v>0</v>
      </c>
      <c r="P70" s="420">
        <v>0</v>
      </c>
      <c r="Q70" s="419">
        <v>0</v>
      </c>
      <c r="R70" s="420">
        <v>0</v>
      </c>
      <c r="S70" s="420">
        <v>0</v>
      </c>
      <c r="T70" s="420">
        <v>0</v>
      </c>
      <c r="U70" s="420">
        <v>6.5203992257701748E-3</v>
      </c>
      <c r="V70" s="421"/>
    </row>
    <row r="71" spans="1:23">
      <c r="A71" s="416"/>
      <c r="B71" s="422" t="s">
        <v>616</v>
      </c>
      <c r="C71" s="423">
        <v>9.2153461076213278E-3</v>
      </c>
      <c r="D71" s="424">
        <v>0</v>
      </c>
      <c r="E71" s="424">
        <v>-1.2341105228546378</v>
      </c>
      <c r="F71" s="424">
        <v>0</v>
      </c>
      <c r="G71" s="424">
        <v>0</v>
      </c>
      <c r="H71" s="424">
        <v>0</v>
      </c>
      <c r="I71" s="424">
        <v>0</v>
      </c>
      <c r="J71" s="426">
        <v>-0.74043310822400432</v>
      </c>
      <c r="K71" s="426">
        <v>0</v>
      </c>
      <c r="L71" s="424">
        <v>0</v>
      </c>
      <c r="M71" s="424">
        <v>0</v>
      </c>
      <c r="N71" s="424">
        <v>0</v>
      </c>
      <c r="O71" s="426">
        <v>0</v>
      </c>
      <c r="P71" s="426">
        <v>0</v>
      </c>
      <c r="Q71" s="424">
        <v>0</v>
      </c>
      <c r="R71" s="426">
        <v>0</v>
      </c>
      <c r="S71" s="426">
        <v>0</v>
      </c>
      <c r="T71" s="426">
        <v>0</v>
      </c>
      <c r="U71" s="426">
        <v>-0.74043310822400432</v>
      </c>
      <c r="V71" s="421"/>
    </row>
    <row r="72" spans="1:23">
      <c r="A72" s="416"/>
      <c r="B72" s="394" t="s">
        <v>617</v>
      </c>
      <c r="C72" s="413">
        <v>0</v>
      </c>
      <c r="D72" s="414">
        <v>0</v>
      </c>
      <c r="E72" s="414">
        <v>4.6743697478991595E-3</v>
      </c>
      <c r="F72" s="414">
        <v>0</v>
      </c>
      <c r="G72" s="414">
        <v>0</v>
      </c>
      <c r="H72" s="414">
        <v>0</v>
      </c>
      <c r="I72" s="414">
        <v>0</v>
      </c>
      <c r="J72" s="415">
        <v>2.3169918156819994E-3</v>
      </c>
      <c r="K72" s="415">
        <v>0</v>
      </c>
      <c r="L72" s="414">
        <v>0</v>
      </c>
      <c r="M72" s="414">
        <v>0</v>
      </c>
      <c r="N72" s="414">
        <v>0</v>
      </c>
      <c r="O72" s="415">
        <v>0</v>
      </c>
      <c r="P72" s="415">
        <v>0</v>
      </c>
      <c r="Q72" s="414">
        <v>0</v>
      </c>
      <c r="R72" s="415">
        <v>0</v>
      </c>
      <c r="S72" s="415">
        <v>0</v>
      </c>
      <c r="T72" s="415">
        <v>0</v>
      </c>
      <c r="U72" s="415">
        <v>2.3169918156819994E-3</v>
      </c>
      <c r="V72" s="421"/>
    </row>
    <row r="73" spans="1:23">
      <c r="A73" s="416"/>
      <c r="B73" s="417" t="s">
        <v>618</v>
      </c>
      <c r="C73" s="418">
        <v>0</v>
      </c>
      <c r="D73" s="419">
        <v>0</v>
      </c>
      <c r="E73" s="419">
        <v>3.8623434605288137E-3</v>
      </c>
      <c r="F73" s="419">
        <v>0</v>
      </c>
      <c r="G73" s="419">
        <v>0</v>
      </c>
      <c r="H73" s="419">
        <v>0</v>
      </c>
      <c r="I73" s="419">
        <v>0</v>
      </c>
      <c r="J73" s="420">
        <v>1.5949566928708139E-3</v>
      </c>
      <c r="K73" s="420">
        <v>0</v>
      </c>
      <c r="L73" s="419">
        <v>0</v>
      </c>
      <c r="M73" s="419">
        <v>0</v>
      </c>
      <c r="N73" s="419">
        <v>0</v>
      </c>
      <c r="O73" s="420">
        <v>0</v>
      </c>
      <c r="P73" s="420">
        <v>0</v>
      </c>
      <c r="Q73" s="419">
        <v>0</v>
      </c>
      <c r="R73" s="420">
        <v>0</v>
      </c>
      <c r="S73" s="420">
        <v>0</v>
      </c>
      <c r="T73" s="420">
        <v>0</v>
      </c>
      <c r="U73" s="420">
        <v>1.5949566928708139E-3</v>
      </c>
      <c r="V73" s="421"/>
    </row>
    <row r="74" spans="1:23">
      <c r="A74" s="416"/>
      <c r="B74" s="422" t="s">
        <v>619</v>
      </c>
      <c r="C74" s="423">
        <v>0</v>
      </c>
      <c r="D74" s="424">
        <v>0</v>
      </c>
      <c r="E74" s="424">
        <v>-8.1202628737034585E-2</v>
      </c>
      <c r="F74" s="424">
        <v>0</v>
      </c>
      <c r="G74" s="424">
        <v>0</v>
      </c>
      <c r="H74" s="424">
        <v>0</v>
      </c>
      <c r="I74" s="424">
        <v>0</v>
      </c>
      <c r="J74" s="426">
        <v>-7.2203512281118543E-2</v>
      </c>
      <c r="K74" s="426">
        <v>0</v>
      </c>
      <c r="L74" s="424">
        <v>0</v>
      </c>
      <c r="M74" s="424">
        <v>0</v>
      </c>
      <c r="N74" s="424">
        <v>0</v>
      </c>
      <c r="O74" s="426">
        <v>0</v>
      </c>
      <c r="P74" s="426">
        <v>0</v>
      </c>
      <c r="Q74" s="424">
        <v>0</v>
      </c>
      <c r="R74" s="426">
        <v>0</v>
      </c>
      <c r="S74" s="426">
        <v>0</v>
      </c>
      <c r="T74" s="426">
        <v>0</v>
      </c>
      <c r="U74" s="426">
        <v>-7.2203512281118543E-2</v>
      </c>
      <c r="V74" s="421"/>
    </row>
    <row r="75" spans="1:23">
      <c r="A75" s="416"/>
      <c r="B75" s="394" t="s">
        <v>620</v>
      </c>
      <c r="C75" s="413">
        <v>2.0229861804756544E-3</v>
      </c>
      <c r="D75" s="414">
        <v>7.7323211022072263E-4</v>
      </c>
      <c r="E75" s="414">
        <v>9.8476890756302524E-5</v>
      </c>
      <c r="F75" s="414">
        <v>2.858776443682104E-4</v>
      </c>
      <c r="G75" s="414">
        <v>0</v>
      </c>
      <c r="H75" s="414">
        <v>0</v>
      </c>
      <c r="I75" s="414">
        <v>0</v>
      </c>
      <c r="J75" s="415">
        <v>7.0616183146487901E-4</v>
      </c>
      <c r="K75" s="415">
        <v>0</v>
      </c>
      <c r="L75" s="414">
        <v>0</v>
      </c>
      <c r="M75" s="414">
        <v>0</v>
      </c>
      <c r="N75" s="414">
        <v>0</v>
      </c>
      <c r="O75" s="415">
        <v>0</v>
      </c>
      <c r="P75" s="415">
        <v>0</v>
      </c>
      <c r="Q75" s="414">
        <v>0</v>
      </c>
      <c r="R75" s="415">
        <v>0</v>
      </c>
      <c r="S75" s="415">
        <v>0</v>
      </c>
      <c r="T75" s="415">
        <v>0</v>
      </c>
      <c r="U75" s="415">
        <v>7.0616183146487901E-4</v>
      </c>
      <c r="V75" s="421"/>
    </row>
    <row r="76" spans="1:23">
      <c r="A76" s="416"/>
      <c r="B76" s="417" t="s">
        <v>621</v>
      </c>
      <c r="C76" s="418">
        <v>0</v>
      </c>
      <c r="D76" s="419">
        <v>0</v>
      </c>
      <c r="E76" s="419">
        <v>0</v>
      </c>
      <c r="F76" s="419">
        <v>0</v>
      </c>
      <c r="G76" s="419">
        <v>0</v>
      </c>
      <c r="H76" s="419">
        <v>0</v>
      </c>
      <c r="I76" s="419">
        <v>0</v>
      </c>
      <c r="J76" s="420">
        <v>0</v>
      </c>
      <c r="K76" s="420">
        <v>0</v>
      </c>
      <c r="L76" s="419">
        <v>0</v>
      </c>
      <c r="M76" s="419">
        <v>0</v>
      </c>
      <c r="N76" s="419">
        <v>0</v>
      </c>
      <c r="O76" s="420">
        <v>0</v>
      </c>
      <c r="P76" s="420">
        <v>0</v>
      </c>
      <c r="Q76" s="419">
        <v>0</v>
      </c>
      <c r="R76" s="420">
        <v>0</v>
      </c>
      <c r="S76" s="420">
        <v>0</v>
      </c>
      <c r="T76" s="420">
        <v>0</v>
      </c>
      <c r="U76" s="420">
        <v>0</v>
      </c>
      <c r="V76" s="421"/>
      <c r="W76" s="438"/>
    </row>
    <row r="77" spans="1:23" ht="15" thickBot="1">
      <c r="A77" s="432"/>
      <c r="B77" s="433" t="s">
        <v>622</v>
      </c>
      <c r="C77" s="434">
        <v>-0.20229861804756544</v>
      </c>
      <c r="D77" s="435">
        <v>-7.7323211022072263E-2</v>
      </c>
      <c r="E77" s="435">
        <v>-9.8476890756302518E-3</v>
      </c>
      <c r="F77" s="435">
        <v>-2.8587764436821039E-2</v>
      </c>
      <c r="G77" s="435">
        <v>0</v>
      </c>
      <c r="H77" s="435">
        <v>0</v>
      </c>
      <c r="I77" s="435">
        <v>0</v>
      </c>
      <c r="J77" s="436">
        <v>-7.0616183146487904E-2</v>
      </c>
      <c r="K77" s="436">
        <v>0</v>
      </c>
      <c r="L77" s="435">
        <v>0</v>
      </c>
      <c r="M77" s="435">
        <v>0</v>
      </c>
      <c r="N77" s="435">
        <v>0</v>
      </c>
      <c r="O77" s="436">
        <v>0</v>
      </c>
      <c r="P77" s="436">
        <v>0</v>
      </c>
      <c r="Q77" s="435">
        <v>0</v>
      </c>
      <c r="R77" s="436">
        <v>0</v>
      </c>
      <c r="S77" s="436">
        <v>0</v>
      </c>
      <c r="T77" s="436">
        <v>0</v>
      </c>
      <c r="U77" s="436">
        <v>-7.0616183146487904E-2</v>
      </c>
      <c r="V77" s="421"/>
    </row>
    <row r="78" spans="1:23">
      <c r="A78" s="412" t="s">
        <v>111</v>
      </c>
      <c r="B78" s="394" t="s">
        <v>587</v>
      </c>
      <c r="C78" s="413">
        <v>0.96130673743340356</v>
      </c>
      <c r="D78" s="414">
        <v>0</v>
      </c>
      <c r="E78" s="414">
        <v>0.92338077300775356</v>
      </c>
      <c r="F78" s="414">
        <v>0</v>
      </c>
      <c r="G78" s="414">
        <v>0</v>
      </c>
      <c r="H78" s="414">
        <v>0</v>
      </c>
      <c r="I78" s="414">
        <v>0</v>
      </c>
      <c r="J78" s="415">
        <v>0.95422069475442606</v>
      </c>
      <c r="K78" s="415">
        <v>0</v>
      </c>
      <c r="L78" s="414">
        <v>0</v>
      </c>
      <c r="M78" s="414">
        <v>0.80386420543015547</v>
      </c>
      <c r="N78" s="414">
        <v>0</v>
      </c>
      <c r="O78" s="415">
        <v>0.80386420543015547</v>
      </c>
      <c r="P78" s="415">
        <v>0</v>
      </c>
      <c r="Q78" s="414">
        <v>0</v>
      </c>
      <c r="R78" s="415">
        <v>0</v>
      </c>
      <c r="S78" s="415">
        <v>0</v>
      </c>
      <c r="T78" s="415">
        <v>0</v>
      </c>
      <c r="U78" s="415">
        <v>0.91359626025148166</v>
      </c>
      <c r="V78" s="421"/>
    </row>
    <row r="79" spans="1:23">
      <c r="A79" s="416"/>
      <c r="B79" s="417" t="s">
        <v>588</v>
      </c>
      <c r="C79" s="418">
        <v>0.95831240582621802</v>
      </c>
      <c r="D79" s="419">
        <v>0</v>
      </c>
      <c r="E79" s="419">
        <v>0.88168853572292782</v>
      </c>
      <c r="F79" s="419">
        <v>0</v>
      </c>
      <c r="G79" s="419">
        <v>0</v>
      </c>
      <c r="H79" s="419">
        <v>0</v>
      </c>
      <c r="I79" s="419">
        <v>0</v>
      </c>
      <c r="J79" s="420">
        <v>0.94481730872337444</v>
      </c>
      <c r="K79" s="420">
        <v>0</v>
      </c>
      <c r="L79" s="419">
        <v>0</v>
      </c>
      <c r="M79" s="419">
        <v>0.78871152136173095</v>
      </c>
      <c r="N79" s="419">
        <v>0</v>
      </c>
      <c r="O79" s="420">
        <v>0.78871152136173095</v>
      </c>
      <c r="P79" s="420">
        <v>0</v>
      </c>
      <c r="Q79" s="419">
        <v>0</v>
      </c>
      <c r="R79" s="420">
        <v>0</v>
      </c>
      <c r="S79" s="420">
        <v>0</v>
      </c>
      <c r="T79" s="420">
        <v>0</v>
      </c>
      <c r="U79" s="420">
        <v>0.90373677178331602</v>
      </c>
      <c r="V79" s="421"/>
    </row>
    <row r="80" spans="1:23">
      <c r="A80" s="416"/>
      <c r="B80" s="422" t="s">
        <v>589</v>
      </c>
      <c r="C80" s="423">
        <v>-0.29943316071855408</v>
      </c>
      <c r="D80" s="424">
        <v>0</v>
      </c>
      <c r="E80" s="424">
        <v>-4.1692237284825744</v>
      </c>
      <c r="F80" s="424">
        <v>0</v>
      </c>
      <c r="G80" s="424">
        <v>0</v>
      </c>
      <c r="H80" s="424">
        <v>0</v>
      </c>
      <c r="I80" s="424">
        <v>0</v>
      </c>
      <c r="J80" s="426">
        <v>-0.94033860310516193</v>
      </c>
      <c r="K80" s="426">
        <v>0</v>
      </c>
      <c r="L80" s="424">
        <v>0</v>
      </c>
      <c r="M80" s="424">
        <v>-1.5152684068424516</v>
      </c>
      <c r="N80" s="424">
        <v>0</v>
      </c>
      <c r="O80" s="426">
        <v>-1.5152684068424516</v>
      </c>
      <c r="P80" s="426">
        <v>0</v>
      </c>
      <c r="Q80" s="424">
        <v>0</v>
      </c>
      <c r="R80" s="426">
        <v>0</v>
      </c>
      <c r="S80" s="426">
        <v>0</v>
      </c>
      <c r="T80" s="426">
        <v>0</v>
      </c>
      <c r="U80" s="426">
        <v>-0.98594884681656447</v>
      </c>
      <c r="V80" s="421"/>
    </row>
    <row r="81" spans="1:22">
      <c r="A81" s="416"/>
      <c r="B81" s="394" t="s">
        <v>590</v>
      </c>
      <c r="C81" s="413">
        <v>0</v>
      </c>
      <c r="D81" s="414">
        <v>0</v>
      </c>
      <c r="E81" s="414">
        <v>0</v>
      </c>
      <c r="F81" s="414">
        <v>0</v>
      </c>
      <c r="G81" s="414">
        <v>0</v>
      </c>
      <c r="H81" s="414">
        <v>0</v>
      </c>
      <c r="I81" s="414">
        <v>0</v>
      </c>
      <c r="J81" s="415">
        <v>0</v>
      </c>
      <c r="K81" s="415">
        <v>0</v>
      </c>
      <c r="L81" s="414">
        <v>0</v>
      </c>
      <c r="M81" s="414">
        <v>0</v>
      </c>
      <c r="N81" s="414">
        <v>0</v>
      </c>
      <c r="O81" s="415">
        <v>0</v>
      </c>
      <c r="P81" s="415">
        <v>0</v>
      </c>
      <c r="Q81" s="414">
        <v>0</v>
      </c>
      <c r="R81" s="415">
        <v>0</v>
      </c>
      <c r="S81" s="415">
        <v>0</v>
      </c>
      <c r="T81" s="415">
        <v>0</v>
      </c>
      <c r="U81" s="415">
        <v>0</v>
      </c>
      <c r="V81" s="421"/>
    </row>
    <row r="82" spans="1:22">
      <c r="A82" s="416"/>
      <c r="B82" s="417" t="s">
        <v>591</v>
      </c>
      <c r="C82" s="418">
        <v>0</v>
      </c>
      <c r="D82" s="419">
        <v>0</v>
      </c>
      <c r="E82" s="419">
        <v>0</v>
      </c>
      <c r="F82" s="419">
        <v>0</v>
      </c>
      <c r="G82" s="419">
        <v>0</v>
      </c>
      <c r="H82" s="419">
        <v>0</v>
      </c>
      <c r="I82" s="419">
        <v>0</v>
      </c>
      <c r="J82" s="420">
        <v>0</v>
      </c>
      <c r="K82" s="420">
        <v>0</v>
      </c>
      <c r="L82" s="419">
        <v>0</v>
      </c>
      <c r="M82" s="419">
        <v>0</v>
      </c>
      <c r="N82" s="419">
        <v>0</v>
      </c>
      <c r="O82" s="420">
        <v>0</v>
      </c>
      <c r="P82" s="420">
        <v>0</v>
      </c>
      <c r="Q82" s="419">
        <v>0</v>
      </c>
      <c r="R82" s="420">
        <v>0</v>
      </c>
      <c r="S82" s="420">
        <v>0</v>
      </c>
      <c r="T82" s="420">
        <v>0</v>
      </c>
      <c r="U82" s="420">
        <v>0</v>
      </c>
      <c r="V82" s="421"/>
    </row>
    <row r="83" spans="1:22">
      <c r="A83" s="416"/>
      <c r="B83" s="422" t="s">
        <v>592</v>
      </c>
      <c r="C83" s="423">
        <v>0</v>
      </c>
      <c r="D83" s="424">
        <v>0</v>
      </c>
      <c r="E83" s="424">
        <v>0</v>
      </c>
      <c r="F83" s="424">
        <v>0</v>
      </c>
      <c r="G83" s="424">
        <v>0</v>
      </c>
      <c r="H83" s="424">
        <v>0</v>
      </c>
      <c r="I83" s="424">
        <v>0</v>
      </c>
      <c r="J83" s="426">
        <v>0</v>
      </c>
      <c r="K83" s="426">
        <v>0</v>
      </c>
      <c r="L83" s="424">
        <v>0</v>
      </c>
      <c r="M83" s="424">
        <v>0</v>
      </c>
      <c r="N83" s="424">
        <v>0</v>
      </c>
      <c r="O83" s="426">
        <v>0</v>
      </c>
      <c r="P83" s="426">
        <v>0</v>
      </c>
      <c r="Q83" s="424">
        <v>0</v>
      </c>
      <c r="R83" s="426">
        <v>0</v>
      </c>
      <c r="S83" s="426">
        <v>0</v>
      </c>
      <c r="T83" s="426">
        <v>0</v>
      </c>
      <c r="U83" s="426">
        <v>0</v>
      </c>
      <c r="V83" s="421"/>
    </row>
    <row r="84" spans="1:22">
      <c r="A84" s="416"/>
      <c r="B84" s="394" t="s">
        <v>593</v>
      </c>
      <c r="C84" s="413">
        <v>3.8693262566596394E-2</v>
      </c>
      <c r="D84" s="414">
        <v>0</v>
      </c>
      <c r="E84" s="414">
        <v>7.6619226992246478E-2</v>
      </c>
      <c r="F84" s="414">
        <v>0</v>
      </c>
      <c r="G84" s="414">
        <v>0</v>
      </c>
      <c r="H84" s="414">
        <v>0</v>
      </c>
      <c r="I84" s="414">
        <v>0</v>
      </c>
      <c r="J84" s="415">
        <v>4.5779305245573922E-2</v>
      </c>
      <c r="K84" s="415">
        <v>0</v>
      </c>
      <c r="L84" s="414">
        <v>0</v>
      </c>
      <c r="M84" s="414">
        <v>0.19027365290943454</v>
      </c>
      <c r="N84" s="414">
        <v>0</v>
      </c>
      <c r="O84" s="415">
        <v>0.19027365290943454</v>
      </c>
      <c r="P84" s="415">
        <v>0</v>
      </c>
      <c r="Q84" s="414">
        <v>0</v>
      </c>
      <c r="R84" s="415">
        <v>0</v>
      </c>
      <c r="S84" s="415">
        <v>0</v>
      </c>
      <c r="T84" s="415">
        <v>0</v>
      </c>
      <c r="U84" s="415">
        <v>8.4819862717333411E-2</v>
      </c>
      <c r="V84" s="421"/>
    </row>
    <row r="85" spans="1:22">
      <c r="A85" s="416"/>
      <c r="B85" s="417" t="s">
        <v>594</v>
      </c>
      <c r="C85" s="418">
        <v>4.1687594173782018E-2</v>
      </c>
      <c r="D85" s="419">
        <v>0</v>
      </c>
      <c r="E85" s="419">
        <v>0.11831146427707223</v>
      </c>
      <c r="F85" s="419">
        <v>0</v>
      </c>
      <c r="G85" s="419">
        <v>0</v>
      </c>
      <c r="H85" s="419">
        <v>0</v>
      </c>
      <c r="I85" s="419">
        <v>0</v>
      </c>
      <c r="J85" s="420">
        <v>5.5182691276625583E-2</v>
      </c>
      <c r="K85" s="420">
        <v>0</v>
      </c>
      <c r="L85" s="419">
        <v>0</v>
      </c>
      <c r="M85" s="419">
        <v>0.2061034616820703</v>
      </c>
      <c r="N85" s="419">
        <v>0</v>
      </c>
      <c r="O85" s="420">
        <v>0.2061034616820703</v>
      </c>
      <c r="P85" s="420">
        <v>0</v>
      </c>
      <c r="Q85" s="419">
        <v>0</v>
      </c>
      <c r="R85" s="420">
        <v>0</v>
      </c>
      <c r="S85" s="420">
        <v>0</v>
      </c>
      <c r="T85" s="420">
        <v>0</v>
      </c>
      <c r="U85" s="420">
        <v>9.4898747858819341E-2</v>
      </c>
      <c r="V85" s="421"/>
    </row>
    <row r="86" spans="1:22">
      <c r="A86" s="416"/>
      <c r="B86" s="422" t="s">
        <v>595</v>
      </c>
      <c r="C86" s="423">
        <v>0.29943316071856241</v>
      </c>
      <c r="D86" s="424">
        <v>0</v>
      </c>
      <c r="E86" s="424">
        <v>4.1692237284825753</v>
      </c>
      <c r="F86" s="424">
        <v>0</v>
      </c>
      <c r="G86" s="424">
        <v>0</v>
      </c>
      <c r="H86" s="424">
        <v>0</v>
      </c>
      <c r="I86" s="424">
        <v>0</v>
      </c>
      <c r="J86" s="426">
        <v>0.94033860310516615</v>
      </c>
      <c r="K86" s="426">
        <v>0</v>
      </c>
      <c r="L86" s="424">
        <v>0</v>
      </c>
      <c r="M86" s="424">
        <v>1.5829808772635761</v>
      </c>
      <c r="N86" s="424">
        <v>0</v>
      </c>
      <c r="O86" s="426">
        <v>1.5829808772635761</v>
      </c>
      <c r="P86" s="426">
        <v>0</v>
      </c>
      <c r="Q86" s="424">
        <v>0</v>
      </c>
      <c r="R86" s="426">
        <v>0</v>
      </c>
      <c r="S86" s="426">
        <v>0</v>
      </c>
      <c r="T86" s="426">
        <v>0</v>
      </c>
      <c r="U86" s="426">
        <v>1.0078885141485929</v>
      </c>
      <c r="V86" s="421"/>
    </row>
    <row r="87" spans="1:22">
      <c r="A87" s="416"/>
      <c r="B87" s="394" t="s">
        <v>596</v>
      </c>
      <c r="C87" s="413">
        <v>0</v>
      </c>
      <c r="D87" s="414">
        <v>0</v>
      </c>
      <c r="E87" s="414">
        <v>0</v>
      </c>
      <c r="F87" s="414">
        <v>0</v>
      </c>
      <c r="G87" s="414">
        <v>0</v>
      </c>
      <c r="H87" s="414">
        <v>0</v>
      </c>
      <c r="I87" s="414">
        <v>0</v>
      </c>
      <c r="J87" s="415">
        <v>0</v>
      </c>
      <c r="K87" s="415">
        <v>0</v>
      </c>
      <c r="L87" s="414">
        <v>0</v>
      </c>
      <c r="M87" s="414">
        <v>3.8020704270671909E-3</v>
      </c>
      <c r="N87" s="414">
        <v>0</v>
      </c>
      <c r="O87" s="415">
        <v>3.8020704270671909E-3</v>
      </c>
      <c r="P87" s="415">
        <v>0</v>
      </c>
      <c r="Q87" s="414">
        <v>0</v>
      </c>
      <c r="R87" s="415">
        <v>0</v>
      </c>
      <c r="S87" s="415">
        <v>0</v>
      </c>
      <c r="T87" s="415">
        <v>0</v>
      </c>
      <c r="U87" s="415">
        <v>1.0272716643899475E-3</v>
      </c>
      <c r="V87" s="421"/>
    </row>
    <row r="88" spans="1:22">
      <c r="A88" s="416"/>
      <c r="B88" s="417" t="s">
        <v>597</v>
      </c>
      <c r="C88" s="418">
        <v>0</v>
      </c>
      <c r="D88" s="419">
        <v>0</v>
      </c>
      <c r="E88" s="419">
        <v>0</v>
      </c>
      <c r="F88" s="419">
        <v>0</v>
      </c>
      <c r="G88" s="419">
        <v>0</v>
      </c>
      <c r="H88" s="419">
        <v>0</v>
      </c>
      <c r="I88" s="419">
        <v>0</v>
      </c>
      <c r="J88" s="420">
        <v>0</v>
      </c>
      <c r="K88" s="420">
        <v>0</v>
      </c>
      <c r="L88" s="419">
        <v>0</v>
      </c>
      <c r="M88" s="419">
        <v>3.3296508293332613E-3</v>
      </c>
      <c r="N88" s="419">
        <v>0</v>
      </c>
      <c r="O88" s="420">
        <v>3.3296508293332613E-3</v>
      </c>
      <c r="P88" s="420">
        <v>0</v>
      </c>
      <c r="Q88" s="419">
        <v>0</v>
      </c>
      <c r="R88" s="420">
        <v>0</v>
      </c>
      <c r="S88" s="420">
        <v>0</v>
      </c>
      <c r="T88" s="420">
        <v>0</v>
      </c>
      <c r="U88" s="420">
        <v>8.7622532260793018E-4</v>
      </c>
      <c r="V88" s="421"/>
    </row>
    <row r="89" spans="1:22">
      <c r="A89" s="416"/>
      <c r="B89" s="422" t="s">
        <v>598</v>
      </c>
      <c r="C89" s="423">
        <v>0</v>
      </c>
      <c r="D89" s="424">
        <v>0</v>
      </c>
      <c r="E89" s="424">
        <v>0</v>
      </c>
      <c r="F89" s="424">
        <v>0</v>
      </c>
      <c r="G89" s="424">
        <v>0</v>
      </c>
      <c r="H89" s="424">
        <v>0</v>
      </c>
      <c r="I89" s="424">
        <v>0</v>
      </c>
      <c r="J89" s="426">
        <v>0</v>
      </c>
      <c r="K89" s="426">
        <v>0</v>
      </c>
      <c r="L89" s="424">
        <v>0</v>
      </c>
      <c r="M89" s="424">
        <v>-4.7241959773392961E-2</v>
      </c>
      <c r="N89" s="424">
        <v>0</v>
      </c>
      <c r="O89" s="426">
        <v>-4.7241959773392961E-2</v>
      </c>
      <c r="P89" s="426">
        <v>0</v>
      </c>
      <c r="Q89" s="424">
        <v>0</v>
      </c>
      <c r="R89" s="426">
        <v>0</v>
      </c>
      <c r="S89" s="426">
        <v>0</v>
      </c>
      <c r="T89" s="426">
        <v>0</v>
      </c>
      <c r="U89" s="426">
        <v>-1.5104634178201735E-2</v>
      </c>
      <c r="V89" s="421"/>
    </row>
    <row r="90" spans="1:22">
      <c r="A90" s="416"/>
      <c r="B90" s="394" t="s">
        <v>599</v>
      </c>
      <c r="C90" s="413">
        <v>0</v>
      </c>
      <c r="D90" s="414">
        <v>0</v>
      </c>
      <c r="E90" s="414">
        <v>0</v>
      </c>
      <c r="F90" s="414">
        <v>0</v>
      </c>
      <c r="G90" s="414">
        <v>0</v>
      </c>
      <c r="H90" s="414">
        <v>0</v>
      </c>
      <c r="I90" s="414">
        <v>0</v>
      </c>
      <c r="J90" s="415">
        <v>0</v>
      </c>
      <c r="K90" s="415">
        <v>0</v>
      </c>
      <c r="L90" s="414">
        <v>0</v>
      </c>
      <c r="M90" s="414">
        <v>2.0600712333428261E-3</v>
      </c>
      <c r="N90" s="414">
        <v>0</v>
      </c>
      <c r="O90" s="415">
        <v>2.0600712333428261E-3</v>
      </c>
      <c r="P90" s="415">
        <v>0</v>
      </c>
      <c r="Q90" s="414">
        <v>0</v>
      </c>
      <c r="R90" s="415">
        <v>0</v>
      </c>
      <c r="S90" s="415">
        <v>0</v>
      </c>
      <c r="T90" s="415">
        <v>0</v>
      </c>
      <c r="U90" s="415">
        <v>5.5660536679494235E-4</v>
      </c>
      <c r="V90" s="421"/>
    </row>
    <row r="91" spans="1:22">
      <c r="A91" s="416"/>
      <c r="B91" s="417" t="s">
        <v>600</v>
      </c>
      <c r="C91" s="418">
        <v>0</v>
      </c>
      <c r="D91" s="419">
        <v>0</v>
      </c>
      <c r="E91" s="419">
        <v>0</v>
      </c>
      <c r="F91" s="419">
        <v>0</v>
      </c>
      <c r="G91" s="419">
        <v>0</v>
      </c>
      <c r="H91" s="419">
        <v>0</v>
      </c>
      <c r="I91" s="419">
        <v>0</v>
      </c>
      <c r="J91" s="420">
        <v>0</v>
      </c>
      <c r="K91" s="420">
        <v>0</v>
      </c>
      <c r="L91" s="419">
        <v>0</v>
      </c>
      <c r="M91" s="419">
        <v>1.8553661268654706E-3</v>
      </c>
      <c r="N91" s="419">
        <v>0</v>
      </c>
      <c r="O91" s="420">
        <v>1.8553661268654706E-3</v>
      </c>
      <c r="P91" s="420">
        <v>0</v>
      </c>
      <c r="Q91" s="419">
        <v>0</v>
      </c>
      <c r="R91" s="420">
        <v>0</v>
      </c>
      <c r="S91" s="420">
        <v>0</v>
      </c>
      <c r="T91" s="420">
        <v>0</v>
      </c>
      <c r="U91" s="420">
        <v>4.8825503525667323E-4</v>
      </c>
      <c r="V91" s="421"/>
    </row>
    <row r="92" spans="1:22">
      <c r="A92" s="416"/>
      <c r="B92" s="422" t="s">
        <v>601</v>
      </c>
      <c r="C92" s="423">
        <v>0</v>
      </c>
      <c r="D92" s="424">
        <v>0</v>
      </c>
      <c r="E92" s="424">
        <v>0</v>
      </c>
      <c r="F92" s="424">
        <v>0</v>
      </c>
      <c r="G92" s="424">
        <v>0</v>
      </c>
      <c r="H92" s="424">
        <v>0</v>
      </c>
      <c r="I92" s="424">
        <v>0</v>
      </c>
      <c r="J92" s="426">
        <v>0</v>
      </c>
      <c r="K92" s="426">
        <v>0</v>
      </c>
      <c r="L92" s="424">
        <v>0</v>
      </c>
      <c r="M92" s="424">
        <v>-2.047051064773555E-2</v>
      </c>
      <c r="N92" s="424">
        <v>0</v>
      </c>
      <c r="O92" s="426">
        <v>-2.047051064773555E-2</v>
      </c>
      <c r="P92" s="426">
        <v>0</v>
      </c>
      <c r="Q92" s="424">
        <v>0</v>
      </c>
      <c r="R92" s="426">
        <v>0</v>
      </c>
      <c r="S92" s="426">
        <v>0</v>
      </c>
      <c r="T92" s="426">
        <v>0</v>
      </c>
      <c r="U92" s="426">
        <v>-6.8350331538269121E-3</v>
      </c>
      <c r="V92" s="421"/>
    </row>
    <row r="93" spans="1:22">
      <c r="A93" s="416"/>
      <c r="B93" s="394" t="s">
        <v>602</v>
      </c>
      <c r="C93" s="413">
        <v>0</v>
      </c>
      <c r="D93" s="414">
        <v>0</v>
      </c>
      <c r="E93" s="414">
        <v>0</v>
      </c>
      <c r="F93" s="414">
        <v>0</v>
      </c>
      <c r="G93" s="414">
        <v>0</v>
      </c>
      <c r="H93" s="414">
        <v>0</v>
      </c>
      <c r="I93" s="414">
        <v>0</v>
      </c>
      <c r="J93" s="415">
        <v>0</v>
      </c>
      <c r="K93" s="415">
        <v>0</v>
      </c>
      <c r="L93" s="414">
        <v>0</v>
      </c>
      <c r="M93" s="414">
        <v>0</v>
      </c>
      <c r="N93" s="414">
        <v>0</v>
      </c>
      <c r="O93" s="415">
        <v>0</v>
      </c>
      <c r="P93" s="415">
        <v>0</v>
      </c>
      <c r="Q93" s="414">
        <v>0</v>
      </c>
      <c r="R93" s="415">
        <v>0</v>
      </c>
      <c r="S93" s="415">
        <v>0</v>
      </c>
      <c r="T93" s="415">
        <v>0</v>
      </c>
      <c r="U93" s="415">
        <v>0</v>
      </c>
      <c r="V93" s="421"/>
    </row>
    <row r="94" spans="1:22">
      <c r="A94" s="416"/>
      <c r="B94" s="417" t="s">
        <v>603</v>
      </c>
      <c r="C94" s="418">
        <v>0</v>
      </c>
      <c r="D94" s="419">
        <v>0</v>
      </c>
      <c r="E94" s="419">
        <v>0</v>
      </c>
      <c r="F94" s="419">
        <v>0</v>
      </c>
      <c r="G94" s="419">
        <v>0</v>
      </c>
      <c r="H94" s="419">
        <v>0</v>
      </c>
      <c r="I94" s="419">
        <v>0</v>
      </c>
      <c r="J94" s="420">
        <v>0</v>
      </c>
      <c r="K94" s="420">
        <v>0</v>
      </c>
      <c r="L94" s="419">
        <v>0</v>
      </c>
      <c r="M94" s="419">
        <v>0</v>
      </c>
      <c r="N94" s="419">
        <v>0</v>
      </c>
      <c r="O94" s="420">
        <v>0</v>
      </c>
      <c r="P94" s="420">
        <v>0</v>
      </c>
      <c r="Q94" s="419">
        <v>0</v>
      </c>
      <c r="R94" s="420">
        <v>0</v>
      </c>
      <c r="S94" s="420">
        <v>0</v>
      </c>
      <c r="T94" s="420">
        <v>0</v>
      </c>
      <c r="U94" s="420">
        <v>0</v>
      </c>
      <c r="V94" s="421"/>
    </row>
    <row r="95" spans="1:22" ht="15" thickBot="1">
      <c r="A95" s="416"/>
      <c r="B95" s="428" t="s">
        <v>604</v>
      </c>
      <c r="C95" s="429">
        <v>0</v>
      </c>
      <c r="D95" s="430">
        <v>0</v>
      </c>
      <c r="E95" s="430">
        <v>0</v>
      </c>
      <c r="F95" s="430">
        <v>0</v>
      </c>
      <c r="G95" s="430">
        <v>0</v>
      </c>
      <c r="H95" s="430">
        <v>0</v>
      </c>
      <c r="I95" s="430">
        <v>0</v>
      </c>
      <c r="J95" s="431">
        <v>0</v>
      </c>
      <c r="K95" s="431">
        <v>0</v>
      </c>
      <c r="L95" s="430">
        <v>0</v>
      </c>
      <c r="M95" s="430">
        <v>0</v>
      </c>
      <c r="N95" s="430">
        <v>0</v>
      </c>
      <c r="O95" s="431">
        <v>0</v>
      </c>
      <c r="P95" s="431">
        <v>0</v>
      </c>
      <c r="Q95" s="430">
        <v>0</v>
      </c>
      <c r="R95" s="431">
        <v>0</v>
      </c>
      <c r="S95" s="431">
        <v>0</v>
      </c>
      <c r="T95" s="431">
        <v>0</v>
      </c>
      <c r="U95" s="431">
        <v>0</v>
      </c>
      <c r="V95" s="421"/>
    </row>
    <row r="96" spans="1:22" ht="15" thickTop="1">
      <c r="A96" s="416"/>
      <c r="B96" s="417" t="s">
        <v>605</v>
      </c>
      <c r="C96" s="418">
        <v>0.86170024382602539</v>
      </c>
      <c r="D96" s="419">
        <v>0</v>
      </c>
      <c r="E96" s="419">
        <v>0.77400505369551487</v>
      </c>
      <c r="F96" s="419">
        <v>0</v>
      </c>
      <c r="G96" s="419">
        <v>0</v>
      </c>
      <c r="H96" s="419">
        <v>0</v>
      </c>
      <c r="I96" s="419">
        <v>0</v>
      </c>
      <c r="J96" s="420">
        <v>0.85473697410495952</v>
      </c>
      <c r="K96" s="420">
        <v>0</v>
      </c>
      <c r="L96" s="419">
        <v>0</v>
      </c>
      <c r="M96" s="419">
        <v>0</v>
      </c>
      <c r="N96" s="419">
        <v>0</v>
      </c>
      <c r="O96" s="420">
        <v>0</v>
      </c>
      <c r="P96" s="420">
        <v>0</v>
      </c>
      <c r="Q96" s="419">
        <v>0</v>
      </c>
      <c r="R96" s="420">
        <v>0</v>
      </c>
      <c r="S96" s="420">
        <v>0</v>
      </c>
      <c r="T96" s="420">
        <v>0</v>
      </c>
      <c r="U96" s="420">
        <v>0.85473697410495952</v>
      </c>
      <c r="V96" s="421"/>
    </row>
    <row r="97" spans="1:22">
      <c r="A97" s="416"/>
      <c r="B97" s="417" t="s">
        <v>606</v>
      </c>
      <c r="C97" s="418">
        <v>0.851156914893617</v>
      </c>
      <c r="D97" s="419">
        <v>0</v>
      </c>
      <c r="E97" s="419">
        <v>0.67651525610934693</v>
      </c>
      <c r="F97" s="419">
        <v>0</v>
      </c>
      <c r="G97" s="419">
        <v>0</v>
      </c>
      <c r="H97" s="419">
        <v>0</v>
      </c>
      <c r="I97" s="419">
        <v>0</v>
      </c>
      <c r="J97" s="420">
        <v>0.83581383501328188</v>
      </c>
      <c r="K97" s="420">
        <v>0</v>
      </c>
      <c r="L97" s="419">
        <v>0</v>
      </c>
      <c r="M97" s="419">
        <v>0</v>
      </c>
      <c r="N97" s="419">
        <v>0</v>
      </c>
      <c r="O97" s="420">
        <v>0</v>
      </c>
      <c r="P97" s="420">
        <v>0</v>
      </c>
      <c r="Q97" s="419">
        <v>0</v>
      </c>
      <c r="R97" s="420">
        <v>0</v>
      </c>
      <c r="S97" s="420">
        <v>0</v>
      </c>
      <c r="T97" s="420">
        <v>0</v>
      </c>
      <c r="U97" s="420">
        <v>0.83581383501328188</v>
      </c>
      <c r="V97" s="421"/>
    </row>
    <row r="98" spans="1:22">
      <c r="A98" s="416"/>
      <c r="B98" s="422" t="s">
        <v>607</v>
      </c>
      <c r="C98" s="423">
        <v>-1.0543328932408391</v>
      </c>
      <c r="D98" s="424">
        <v>0</v>
      </c>
      <c r="E98" s="424">
        <v>-9.7489797586167946</v>
      </c>
      <c r="F98" s="424">
        <v>0</v>
      </c>
      <c r="G98" s="424">
        <v>0</v>
      </c>
      <c r="H98" s="424">
        <v>0</v>
      </c>
      <c r="I98" s="424">
        <v>0</v>
      </c>
      <c r="J98" s="426">
        <v>-1.8923139091677643</v>
      </c>
      <c r="K98" s="426">
        <v>0</v>
      </c>
      <c r="L98" s="424">
        <v>0</v>
      </c>
      <c r="M98" s="424">
        <v>0</v>
      </c>
      <c r="N98" s="424">
        <v>0</v>
      </c>
      <c r="O98" s="426">
        <v>0</v>
      </c>
      <c r="P98" s="426">
        <v>0</v>
      </c>
      <c r="Q98" s="424">
        <v>0</v>
      </c>
      <c r="R98" s="426">
        <v>0</v>
      </c>
      <c r="S98" s="426">
        <v>0</v>
      </c>
      <c r="T98" s="426">
        <v>0</v>
      </c>
      <c r="U98" s="426">
        <v>-1.8923139091677643</v>
      </c>
      <c r="V98" s="421"/>
    </row>
    <row r="99" spans="1:22">
      <c r="A99" s="416"/>
      <c r="B99" s="394" t="s">
        <v>608</v>
      </c>
      <c r="C99" s="413">
        <v>0</v>
      </c>
      <c r="D99" s="414">
        <v>0</v>
      </c>
      <c r="E99" s="414">
        <v>0</v>
      </c>
      <c r="F99" s="414">
        <v>0</v>
      </c>
      <c r="G99" s="414">
        <v>0</v>
      </c>
      <c r="H99" s="414">
        <v>0</v>
      </c>
      <c r="I99" s="414">
        <v>0</v>
      </c>
      <c r="J99" s="415">
        <v>0</v>
      </c>
      <c r="K99" s="415">
        <v>0</v>
      </c>
      <c r="L99" s="414">
        <v>0</v>
      </c>
      <c r="M99" s="414">
        <v>0</v>
      </c>
      <c r="N99" s="414">
        <v>0</v>
      </c>
      <c r="O99" s="415">
        <v>0</v>
      </c>
      <c r="P99" s="415">
        <v>0</v>
      </c>
      <c r="Q99" s="414">
        <v>0</v>
      </c>
      <c r="R99" s="415">
        <v>0</v>
      </c>
      <c r="S99" s="415">
        <v>0</v>
      </c>
      <c r="T99" s="415">
        <v>0</v>
      </c>
      <c r="U99" s="415">
        <v>0</v>
      </c>
      <c r="V99" s="421"/>
    </row>
    <row r="100" spans="1:22">
      <c r="A100" s="416"/>
      <c r="B100" s="417" t="s">
        <v>609</v>
      </c>
      <c r="C100" s="418">
        <v>0</v>
      </c>
      <c r="D100" s="419">
        <v>0</v>
      </c>
      <c r="E100" s="419">
        <v>0</v>
      </c>
      <c r="F100" s="419">
        <v>0</v>
      </c>
      <c r="G100" s="419">
        <v>0</v>
      </c>
      <c r="H100" s="419">
        <v>0</v>
      </c>
      <c r="I100" s="419">
        <v>0</v>
      </c>
      <c r="J100" s="420">
        <v>0</v>
      </c>
      <c r="K100" s="420">
        <v>0</v>
      </c>
      <c r="L100" s="419">
        <v>0</v>
      </c>
      <c r="M100" s="419">
        <v>0</v>
      </c>
      <c r="N100" s="419">
        <v>0</v>
      </c>
      <c r="O100" s="420">
        <v>0</v>
      </c>
      <c r="P100" s="420">
        <v>0</v>
      </c>
      <c r="Q100" s="419">
        <v>0</v>
      </c>
      <c r="R100" s="420">
        <v>0</v>
      </c>
      <c r="S100" s="420">
        <v>0</v>
      </c>
      <c r="T100" s="420">
        <v>0</v>
      </c>
      <c r="U100" s="420">
        <v>0</v>
      </c>
      <c r="V100" s="421"/>
    </row>
    <row r="101" spans="1:22">
      <c r="A101" s="416"/>
      <c r="B101" s="422" t="s">
        <v>610</v>
      </c>
      <c r="C101" s="423">
        <v>0</v>
      </c>
      <c r="D101" s="424">
        <v>0</v>
      </c>
      <c r="E101" s="424">
        <v>0</v>
      </c>
      <c r="F101" s="424">
        <v>0</v>
      </c>
      <c r="G101" s="424">
        <v>0</v>
      </c>
      <c r="H101" s="424">
        <v>0</v>
      </c>
      <c r="I101" s="424">
        <v>0</v>
      </c>
      <c r="J101" s="426">
        <v>0</v>
      </c>
      <c r="K101" s="426">
        <v>0</v>
      </c>
      <c r="L101" s="424">
        <v>0</v>
      </c>
      <c r="M101" s="424">
        <v>0</v>
      </c>
      <c r="N101" s="424">
        <v>0</v>
      </c>
      <c r="O101" s="426">
        <v>0</v>
      </c>
      <c r="P101" s="426">
        <v>0</v>
      </c>
      <c r="Q101" s="424">
        <v>0</v>
      </c>
      <c r="R101" s="426">
        <v>0</v>
      </c>
      <c r="S101" s="426">
        <v>0</v>
      </c>
      <c r="T101" s="426">
        <v>0</v>
      </c>
      <c r="U101" s="426">
        <v>0</v>
      </c>
      <c r="V101" s="421"/>
    </row>
    <row r="102" spans="1:22">
      <c r="A102" s="416"/>
      <c r="B102" s="394" t="s">
        <v>611</v>
      </c>
      <c r="C102" s="413">
        <v>0.13829975617397464</v>
      </c>
      <c r="D102" s="414">
        <v>0</v>
      </c>
      <c r="E102" s="414">
        <v>0.22599494630448516</v>
      </c>
      <c r="F102" s="414">
        <v>0</v>
      </c>
      <c r="G102" s="414">
        <v>0</v>
      </c>
      <c r="H102" s="414">
        <v>0</v>
      </c>
      <c r="I102" s="414">
        <v>0</v>
      </c>
      <c r="J102" s="415">
        <v>0.14526302589504045</v>
      </c>
      <c r="K102" s="415">
        <v>0</v>
      </c>
      <c r="L102" s="414">
        <v>0</v>
      </c>
      <c r="M102" s="414">
        <v>0</v>
      </c>
      <c r="N102" s="414">
        <v>0</v>
      </c>
      <c r="O102" s="415">
        <v>0</v>
      </c>
      <c r="P102" s="415">
        <v>0</v>
      </c>
      <c r="Q102" s="414">
        <v>0</v>
      </c>
      <c r="R102" s="415">
        <v>0</v>
      </c>
      <c r="S102" s="415">
        <v>0</v>
      </c>
      <c r="T102" s="415">
        <v>0</v>
      </c>
      <c r="U102" s="415">
        <v>0.14526302589504045</v>
      </c>
      <c r="V102" s="421"/>
    </row>
    <row r="103" spans="1:22">
      <c r="A103" s="416"/>
      <c r="B103" s="417" t="s">
        <v>612</v>
      </c>
      <c r="C103" s="418">
        <v>0.14884308510638297</v>
      </c>
      <c r="D103" s="419">
        <v>0</v>
      </c>
      <c r="E103" s="419">
        <v>0.32348474389065307</v>
      </c>
      <c r="F103" s="419">
        <v>0</v>
      </c>
      <c r="G103" s="419">
        <v>0</v>
      </c>
      <c r="H103" s="419">
        <v>0</v>
      </c>
      <c r="I103" s="419">
        <v>0</v>
      </c>
      <c r="J103" s="420">
        <v>0.16418616498671809</v>
      </c>
      <c r="K103" s="420">
        <v>0</v>
      </c>
      <c r="L103" s="419">
        <v>0</v>
      </c>
      <c r="M103" s="419">
        <v>0</v>
      </c>
      <c r="N103" s="419">
        <v>0</v>
      </c>
      <c r="O103" s="420">
        <v>0</v>
      </c>
      <c r="P103" s="420">
        <v>0</v>
      </c>
      <c r="Q103" s="419">
        <v>0</v>
      </c>
      <c r="R103" s="420">
        <v>0</v>
      </c>
      <c r="S103" s="420">
        <v>0</v>
      </c>
      <c r="T103" s="420">
        <v>0</v>
      </c>
      <c r="U103" s="420">
        <v>0.16418616498671809</v>
      </c>
      <c r="V103" s="421"/>
    </row>
    <row r="104" spans="1:22">
      <c r="A104" s="416"/>
      <c r="B104" s="422" t="s">
        <v>613</v>
      </c>
      <c r="C104" s="423">
        <v>1.0543328932408336</v>
      </c>
      <c r="D104" s="424">
        <v>0</v>
      </c>
      <c r="E104" s="424">
        <v>9.748979758616791</v>
      </c>
      <c r="F104" s="424">
        <v>0</v>
      </c>
      <c r="G104" s="424">
        <v>0</v>
      </c>
      <c r="H104" s="424">
        <v>0</v>
      </c>
      <c r="I104" s="424">
        <v>0</v>
      </c>
      <c r="J104" s="426">
        <v>1.8923139091677643</v>
      </c>
      <c r="K104" s="426">
        <v>0</v>
      </c>
      <c r="L104" s="424">
        <v>0</v>
      </c>
      <c r="M104" s="424">
        <v>0</v>
      </c>
      <c r="N104" s="424">
        <v>0</v>
      </c>
      <c r="O104" s="426">
        <v>0</v>
      </c>
      <c r="P104" s="426">
        <v>0</v>
      </c>
      <c r="Q104" s="424">
        <v>0</v>
      </c>
      <c r="R104" s="426">
        <v>0</v>
      </c>
      <c r="S104" s="426">
        <v>0</v>
      </c>
      <c r="T104" s="426">
        <v>0</v>
      </c>
      <c r="U104" s="426">
        <v>1.8923139091677643</v>
      </c>
      <c r="V104" s="421"/>
    </row>
    <row r="105" spans="1:22">
      <c r="A105" s="416"/>
      <c r="B105" s="394" t="s">
        <v>614</v>
      </c>
      <c r="C105" s="413">
        <v>0</v>
      </c>
      <c r="D105" s="414">
        <v>0</v>
      </c>
      <c r="E105" s="414">
        <v>0</v>
      </c>
      <c r="F105" s="414">
        <v>0</v>
      </c>
      <c r="G105" s="414">
        <v>0</v>
      </c>
      <c r="H105" s="414">
        <v>0</v>
      </c>
      <c r="I105" s="414">
        <v>0</v>
      </c>
      <c r="J105" s="415">
        <v>0</v>
      </c>
      <c r="K105" s="415">
        <v>0</v>
      </c>
      <c r="L105" s="414">
        <v>0</v>
      </c>
      <c r="M105" s="414">
        <v>0</v>
      </c>
      <c r="N105" s="414">
        <v>0</v>
      </c>
      <c r="O105" s="415">
        <v>0</v>
      </c>
      <c r="P105" s="415">
        <v>0</v>
      </c>
      <c r="Q105" s="414">
        <v>0</v>
      </c>
      <c r="R105" s="415">
        <v>0</v>
      </c>
      <c r="S105" s="415">
        <v>0</v>
      </c>
      <c r="T105" s="415">
        <v>0</v>
      </c>
      <c r="U105" s="415">
        <v>0</v>
      </c>
      <c r="V105" s="421"/>
    </row>
    <row r="106" spans="1:22">
      <c r="A106" s="416"/>
      <c r="B106" s="417" t="s">
        <v>615</v>
      </c>
      <c r="C106" s="418">
        <v>0</v>
      </c>
      <c r="D106" s="419">
        <v>0</v>
      </c>
      <c r="E106" s="419">
        <v>0</v>
      </c>
      <c r="F106" s="419">
        <v>0</v>
      </c>
      <c r="G106" s="419">
        <v>0</v>
      </c>
      <c r="H106" s="419">
        <v>0</v>
      </c>
      <c r="I106" s="419">
        <v>0</v>
      </c>
      <c r="J106" s="420">
        <v>0</v>
      </c>
      <c r="K106" s="420">
        <v>0</v>
      </c>
      <c r="L106" s="419">
        <v>0</v>
      </c>
      <c r="M106" s="419">
        <v>0</v>
      </c>
      <c r="N106" s="419">
        <v>0</v>
      </c>
      <c r="O106" s="420">
        <v>0</v>
      </c>
      <c r="P106" s="420">
        <v>0</v>
      </c>
      <c r="Q106" s="419">
        <v>0</v>
      </c>
      <c r="R106" s="420">
        <v>0</v>
      </c>
      <c r="S106" s="420">
        <v>0</v>
      </c>
      <c r="T106" s="420">
        <v>0</v>
      </c>
      <c r="U106" s="420">
        <v>0</v>
      </c>
      <c r="V106" s="421"/>
    </row>
    <row r="107" spans="1:22">
      <c r="A107" s="416"/>
      <c r="B107" s="422" t="s">
        <v>616</v>
      </c>
      <c r="C107" s="423">
        <v>0</v>
      </c>
      <c r="D107" s="424">
        <v>0</v>
      </c>
      <c r="E107" s="424">
        <v>0</v>
      </c>
      <c r="F107" s="424">
        <v>0</v>
      </c>
      <c r="G107" s="424">
        <v>0</v>
      </c>
      <c r="H107" s="424">
        <v>0</v>
      </c>
      <c r="I107" s="424">
        <v>0</v>
      </c>
      <c r="J107" s="426">
        <v>0</v>
      </c>
      <c r="K107" s="426">
        <v>0</v>
      </c>
      <c r="L107" s="424">
        <v>0</v>
      </c>
      <c r="M107" s="424">
        <v>0</v>
      </c>
      <c r="N107" s="424">
        <v>0</v>
      </c>
      <c r="O107" s="426">
        <v>0</v>
      </c>
      <c r="P107" s="426">
        <v>0</v>
      </c>
      <c r="Q107" s="424">
        <v>0</v>
      </c>
      <c r="R107" s="426">
        <v>0</v>
      </c>
      <c r="S107" s="426">
        <v>0</v>
      </c>
      <c r="T107" s="426">
        <v>0</v>
      </c>
      <c r="U107" s="426">
        <v>0</v>
      </c>
      <c r="V107" s="421"/>
    </row>
    <row r="108" spans="1:22">
      <c r="A108" s="416"/>
      <c r="B108" s="394" t="s">
        <v>617</v>
      </c>
      <c r="C108" s="413">
        <v>0</v>
      </c>
      <c r="D108" s="414">
        <v>0</v>
      </c>
      <c r="E108" s="414">
        <v>0</v>
      </c>
      <c r="F108" s="414">
        <v>0</v>
      </c>
      <c r="G108" s="414">
        <v>0</v>
      </c>
      <c r="H108" s="414">
        <v>0</v>
      </c>
      <c r="I108" s="414">
        <v>0</v>
      </c>
      <c r="J108" s="415">
        <v>0</v>
      </c>
      <c r="K108" s="415">
        <v>0</v>
      </c>
      <c r="L108" s="414">
        <v>0</v>
      </c>
      <c r="M108" s="414">
        <v>0</v>
      </c>
      <c r="N108" s="414">
        <v>0</v>
      </c>
      <c r="O108" s="415">
        <v>0</v>
      </c>
      <c r="P108" s="415">
        <v>0</v>
      </c>
      <c r="Q108" s="414">
        <v>0</v>
      </c>
      <c r="R108" s="415">
        <v>0</v>
      </c>
      <c r="S108" s="415">
        <v>0</v>
      </c>
      <c r="T108" s="415">
        <v>0</v>
      </c>
      <c r="U108" s="415">
        <v>0</v>
      </c>
      <c r="V108" s="421"/>
    </row>
    <row r="109" spans="1:22">
      <c r="A109" s="416"/>
      <c r="B109" s="417" t="s">
        <v>618</v>
      </c>
      <c r="C109" s="418">
        <v>0</v>
      </c>
      <c r="D109" s="419">
        <v>0</v>
      </c>
      <c r="E109" s="419">
        <v>0</v>
      </c>
      <c r="F109" s="419">
        <v>0</v>
      </c>
      <c r="G109" s="419">
        <v>0</v>
      </c>
      <c r="H109" s="419">
        <v>0</v>
      </c>
      <c r="I109" s="419">
        <v>0</v>
      </c>
      <c r="J109" s="420">
        <v>0</v>
      </c>
      <c r="K109" s="420">
        <v>0</v>
      </c>
      <c r="L109" s="419">
        <v>0</v>
      </c>
      <c r="M109" s="419">
        <v>0</v>
      </c>
      <c r="N109" s="419">
        <v>0</v>
      </c>
      <c r="O109" s="420">
        <v>0</v>
      </c>
      <c r="P109" s="420">
        <v>0</v>
      </c>
      <c r="Q109" s="419">
        <v>0</v>
      </c>
      <c r="R109" s="420">
        <v>0</v>
      </c>
      <c r="S109" s="420">
        <v>0</v>
      </c>
      <c r="T109" s="420">
        <v>0</v>
      </c>
      <c r="U109" s="420">
        <v>0</v>
      </c>
      <c r="V109" s="421"/>
    </row>
    <row r="110" spans="1:22">
      <c r="A110" s="416"/>
      <c r="B110" s="422" t="s">
        <v>619</v>
      </c>
      <c r="C110" s="423">
        <v>0</v>
      </c>
      <c r="D110" s="424">
        <v>0</v>
      </c>
      <c r="E110" s="424">
        <v>0</v>
      </c>
      <c r="F110" s="424">
        <v>0</v>
      </c>
      <c r="G110" s="424">
        <v>0</v>
      </c>
      <c r="H110" s="424">
        <v>0</v>
      </c>
      <c r="I110" s="424">
        <v>0</v>
      </c>
      <c r="J110" s="426">
        <v>0</v>
      </c>
      <c r="K110" s="426">
        <v>0</v>
      </c>
      <c r="L110" s="424">
        <v>0</v>
      </c>
      <c r="M110" s="424">
        <v>0</v>
      </c>
      <c r="N110" s="424">
        <v>0</v>
      </c>
      <c r="O110" s="426">
        <v>0</v>
      </c>
      <c r="P110" s="426">
        <v>0</v>
      </c>
      <c r="Q110" s="424">
        <v>0</v>
      </c>
      <c r="R110" s="426">
        <v>0</v>
      </c>
      <c r="S110" s="426">
        <v>0</v>
      </c>
      <c r="T110" s="426">
        <v>0</v>
      </c>
      <c r="U110" s="426">
        <v>0</v>
      </c>
      <c r="V110" s="421"/>
    </row>
    <row r="111" spans="1:22">
      <c r="A111" s="416"/>
      <c r="B111" s="394" t="s">
        <v>620</v>
      </c>
      <c r="C111" s="413">
        <v>0</v>
      </c>
      <c r="D111" s="414">
        <v>0</v>
      </c>
      <c r="E111" s="414">
        <v>0</v>
      </c>
      <c r="F111" s="414">
        <v>0</v>
      </c>
      <c r="G111" s="414">
        <v>0</v>
      </c>
      <c r="H111" s="414">
        <v>0</v>
      </c>
      <c r="I111" s="414">
        <v>0</v>
      </c>
      <c r="J111" s="415">
        <v>0</v>
      </c>
      <c r="K111" s="415">
        <v>0</v>
      </c>
      <c r="L111" s="414">
        <v>0</v>
      </c>
      <c r="M111" s="414">
        <v>0</v>
      </c>
      <c r="N111" s="414">
        <v>0</v>
      </c>
      <c r="O111" s="415">
        <v>0</v>
      </c>
      <c r="P111" s="415">
        <v>0</v>
      </c>
      <c r="Q111" s="414">
        <v>0</v>
      </c>
      <c r="R111" s="415">
        <v>0</v>
      </c>
      <c r="S111" s="415">
        <v>0</v>
      </c>
      <c r="T111" s="415">
        <v>0</v>
      </c>
      <c r="U111" s="415">
        <v>0</v>
      </c>
      <c r="V111" s="421"/>
    </row>
    <row r="112" spans="1:22">
      <c r="A112" s="416"/>
      <c r="B112" s="417" t="s">
        <v>621</v>
      </c>
      <c r="C112" s="418">
        <v>0</v>
      </c>
      <c r="D112" s="419">
        <v>0</v>
      </c>
      <c r="E112" s="419">
        <v>0</v>
      </c>
      <c r="F112" s="419">
        <v>0</v>
      </c>
      <c r="G112" s="419">
        <v>0</v>
      </c>
      <c r="H112" s="419">
        <v>0</v>
      </c>
      <c r="I112" s="419">
        <v>0</v>
      </c>
      <c r="J112" s="420">
        <v>0</v>
      </c>
      <c r="K112" s="420">
        <v>0</v>
      </c>
      <c r="L112" s="419">
        <v>0</v>
      </c>
      <c r="M112" s="419">
        <v>0</v>
      </c>
      <c r="N112" s="419">
        <v>0</v>
      </c>
      <c r="O112" s="420">
        <v>0</v>
      </c>
      <c r="P112" s="420">
        <v>0</v>
      </c>
      <c r="Q112" s="419">
        <v>0</v>
      </c>
      <c r="R112" s="420">
        <v>0</v>
      </c>
      <c r="S112" s="420">
        <v>0</v>
      </c>
      <c r="T112" s="420">
        <v>0</v>
      </c>
      <c r="U112" s="420">
        <v>0</v>
      </c>
      <c r="V112" s="421"/>
    </row>
    <row r="113" spans="1:22" ht="15" thickBot="1">
      <c r="A113" s="432"/>
      <c r="B113" s="433" t="s">
        <v>622</v>
      </c>
      <c r="C113" s="434">
        <v>0</v>
      </c>
      <c r="D113" s="435">
        <v>0</v>
      </c>
      <c r="E113" s="435">
        <v>0</v>
      </c>
      <c r="F113" s="435">
        <v>0</v>
      </c>
      <c r="G113" s="435">
        <v>0</v>
      </c>
      <c r="H113" s="435">
        <v>0</v>
      </c>
      <c r="I113" s="435">
        <v>0</v>
      </c>
      <c r="J113" s="436">
        <v>0</v>
      </c>
      <c r="K113" s="436">
        <v>0</v>
      </c>
      <c r="L113" s="435">
        <v>0</v>
      </c>
      <c r="M113" s="435">
        <v>0</v>
      </c>
      <c r="N113" s="435">
        <v>0</v>
      </c>
      <c r="O113" s="436">
        <v>0</v>
      </c>
      <c r="P113" s="436">
        <v>0</v>
      </c>
      <c r="Q113" s="435">
        <v>0</v>
      </c>
      <c r="R113" s="436">
        <v>0</v>
      </c>
      <c r="S113" s="436">
        <v>0</v>
      </c>
      <c r="T113" s="436">
        <v>0</v>
      </c>
      <c r="U113" s="436">
        <v>0</v>
      </c>
      <c r="V113" s="421"/>
    </row>
    <row r="114" spans="1:22">
      <c r="A114" s="412" t="s">
        <v>115</v>
      </c>
      <c r="B114" s="394" t="s">
        <v>587</v>
      </c>
      <c r="C114" s="413">
        <v>0</v>
      </c>
      <c r="D114" s="414">
        <v>0</v>
      </c>
      <c r="E114" s="414">
        <v>0</v>
      </c>
      <c r="F114" s="414">
        <v>0</v>
      </c>
      <c r="G114" s="414">
        <v>0</v>
      </c>
      <c r="H114" s="414">
        <v>0</v>
      </c>
      <c r="I114" s="414">
        <v>0</v>
      </c>
      <c r="J114" s="415">
        <v>0</v>
      </c>
      <c r="K114" s="415">
        <v>0.68155794100468259</v>
      </c>
      <c r="L114" s="414">
        <v>0.65369080351523123</v>
      </c>
      <c r="M114" s="414">
        <v>0</v>
      </c>
      <c r="N114" s="414">
        <v>0.63510321696820826</v>
      </c>
      <c r="O114" s="415">
        <v>0.67874404844007197</v>
      </c>
      <c r="P114" s="415">
        <v>0</v>
      </c>
      <c r="Q114" s="414">
        <v>0</v>
      </c>
      <c r="R114" s="415">
        <v>0</v>
      </c>
      <c r="S114" s="415">
        <v>0</v>
      </c>
      <c r="T114" s="415">
        <v>0</v>
      </c>
      <c r="U114" s="415">
        <v>0.67874404844007197</v>
      </c>
      <c r="V114" s="421"/>
    </row>
    <row r="115" spans="1:22">
      <c r="A115" s="416"/>
      <c r="B115" s="417" t="s">
        <v>588</v>
      </c>
      <c r="C115" s="418">
        <v>0</v>
      </c>
      <c r="D115" s="419">
        <v>0</v>
      </c>
      <c r="E115" s="419">
        <v>0</v>
      </c>
      <c r="F115" s="419">
        <v>0</v>
      </c>
      <c r="G115" s="419">
        <v>0</v>
      </c>
      <c r="H115" s="419">
        <v>0</v>
      </c>
      <c r="I115" s="419">
        <v>0</v>
      </c>
      <c r="J115" s="420">
        <v>0</v>
      </c>
      <c r="K115" s="420">
        <v>0.67088731462459705</v>
      </c>
      <c r="L115" s="419">
        <v>0.6108175571879122</v>
      </c>
      <c r="M115" s="419">
        <v>0</v>
      </c>
      <c r="N115" s="419">
        <v>0.61529893212582032</v>
      </c>
      <c r="O115" s="420">
        <v>0.66502768976443039</v>
      </c>
      <c r="P115" s="420">
        <v>0</v>
      </c>
      <c r="Q115" s="419">
        <v>0</v>
      </c>
      <c r="R115" s="420">
        <v>0</v>
      </c>
      <c r="S115" s="420">
        <v>0</v>
      </c>
      <c r="T115" s="420">
        <v>0</v>
      </c>
      <c r="U115" s="420">
        <v>0.66502768976443039</v>
      </c>
      <c r="V115" s="421"/>
    </row>
    <row r="116" spans="1:22">
      <c r="A116" s="416"/>
      <c r="B116" s="422" t="s">
        <v>589</v>
      </c>
      <c r="C116" s="423">
        <v>0</v>
      </c>
      <c r="D116" s="424">
        <v>0</v>
      </c>
      <c r="E116" s="424">
        <v>0</v>
      </c>
      <c r="F116" s="424">
        <v>0</v>
      </c>
      <c r="G116" s="424">
        <v>0</v>
      </c>
      <c r="H116" s="424">
        <v>0</v>
      </c>
      <c r="I116" s="424">
        <v>0</v>
      </c>
      <c r="J116" s="426">
        <v>0</v>
      </c>
      <c r="K116" s="426">
        <v>-1.0670626380085535</v>
      </c>
      <c r="L116" s="424">
        <v>-4.2873246327319041</v>
      </c>
      <c r="M116" s="424">
        <v>0</v>
      </c>
      <c r="N116" s="424">
        <v>-1.9804284842387943</v>
      </c>
      <c r="O116" s="426">
        <v>-1.3716358675641582</v>
      </c>
      <c r="P116" s="426">
        <v>0</v>
      </c>
      <c r="Q116" s="424">
        <v>0</v>
      </c>
      <c r="R116" s="426">
        <v>0</v>
      </c>
      <c r="S116" s="426">
        <v>0</v>
      </c>
      <c r="T116" s="426">
        <v>0</v>
      </c>
      <c r="U116" s="426">
        <v>-1.3716358675641582</v>
      </c>
      <c r="V116" s="421"/>
    </row>
    <row r="117" spans="1:22">
      <c r="A117" s="416"/>
      <c r="B117" s="394" t="s">
        <v>590</v>
      </c>
      <c r="C117" s="413">
        <v>0</v>
      </c>
      <c r="D117" s="414">
        <v>0</v>
      </c>
      <c r="E117" s="414">
        <v>0</v>
      </c>
      <c r="F117" s="414">
        <v>0</v>
      </c>
      <c r="G117" s="414">
        <v>0</v>
      </c>
      <c r="H117" s="414">
        <v>0</v>
      </c>
      <c r="I117" s="414">
        <v>0</v>
      </c>
      <c r="J117" s="415">
        <v>0</v>
      </c>
      <c r="K117" s="415">
        <v>3.7630649415853396E-2</v>
      </c>
      <c r="L117" s="414">
        <v>4.003852178563147E-2</v>
      </c>
      <c r="M117" s="414">
        <v>0</v>
      </c>
      <c r="N117" s="414">
        <v>2.9170012754499503E-2</v>
      </c>
      <c r="O117" s="415">
        <v>3.7815552718998606E-2</v>
      </c>
      <c r="P117" s="415">
        <v>0</v>
      </c>
      <c r="Q117" s="414">
        <v>0</v>
      </c>
      <c r="R117" s="415">
        <v>0</v>
      </c>
      <c r="S117" s="415">
        <v>0</v>
      </c>
      <c r="T117" s="415">
        <v>0</v>
      </c>
      <c r="U117" s="415">
        <v>3.7815552718998606E-2</v>
      </c>
      <c r="V117" s="421"/>
    </row>
    <row r="118" spans="1:22">
      <c r="A118" s="416"/>
      <c r="B118" s="417" t="s">
        <v>591</v>
      </c>
      <c r="C118" s="418">
        <v>0</v>
      </c>
      <c r="D118" s="419">
        <v>0</v>
      </c>
      <c r="E118" s="419">
        <v>0</v>
      </c>
      <c r="F118" s="419">
        <v>0</v>
      </c>
      <c r="G118" s="419">
        <v>0</v>
      </c>
      <c r="H118" s="419">
        <v>0</v>
      </c>
      <c r="I118" s="419">
        <v>0</v>
      </c>
      <c r="J118" s="420">
        <v>0</v>
      </c>
      <c r="K118" s="420">
        <v>3.3530420428579524E-2</v>
      </c>
      <c r="L118" s="419">
        <v>4.5038322070702477E-2</v>
      </c>
      <c r="M118" s="419">
        <v>0</v>
      </c>
      <c r="N118" s="419">
        <v>2.3391529651064242E-2</v>
      </c>
      <c r="O118" s="420">
        <v>3.4558368921339025E-2</v>
      </c>
      <c r="P118" s="420">
        <v>0</v>
      </c>
      <c r="Q118" s="419">
        <v>0</v>
      </c>
      <c r="R118" s="420">
        <v>0</v>
      </c>
      <c r="S118" s="420">
        <v>0</v>
      </c>
      <c r="T118" s="420">
        <v>0</v>
      </c>
      <c r="U118" s="420">
        <v>3.4558368921339025E-2</v>
      </c>
      <c r="V118" s="421"/>
    </row>
    <row r="119" spans="1:22">
      <c r="A119" s="416"/>
      <c r="B119" s="422" t="s">
        <v>592</v>
      </c>
      <c r="C119" s="423">
        <v>0</v>
      </c>
      <c r="D119" s="424">
        <v>0</v>
      </c>
      <c r="E119" s="424">
        <v>0</v>
      </c>
      <c r="F119" s="424">
        <v>0</v>
      </c>
      <c r="G119" s="424">
        <v>0</v>
      </c>
      <c r="H119" s="424">
        <v>0</v>
      </c>
      <c r="I119" s="424">
        <v>0</v>
      </c>
      <c r="J119" s="426">
        <v>0</v>
      </c>
      <c r="K119" s="426">
        <v>-0.41002289872738712</v>
      </c>
      <c r="L119" s="424">
        <v>0.49998002850710072</v>
      </c>
      <c r="M119" s="424">
        <v>0</v>
      </c>
      <c r="N119" s="424">
        <v>-0.57784831034352613</v>
      </c>
      <c r="O119" s="426">
        <v>-0.32571837976595808</v>
      </c>
      <c r="P119" s="426">
        <v>0</v>
      </c>
      <c r="Q119" s="424">
        <v>0</v>
      </c>
      <c r="R119" s="426">
        <v>0</v>
      </c>
      <c r="S119" s="426">
        <v>0</v>
      </c>
      <c r="T119" s="426">
        <v>0</v>
      </c>
      <c r="U119" s="426">
        <v>-0.32571837976595808</v>
      </c>
      <c r="V119" s="421"/>
    </row>
    <row r="120" spans="1:22">
      <c r="A120" s="416"/>
      <c r="B120" s="394" t="s">
        <v>593</v>
      </c>
      <c r="C120" s="413">
        <v>0</v>
      </c>
      <c r="D120" s="414">
        <v>0</v>
      </c>
      <c r="E120" s="414">
        <v>0</v>
      </c>
      <c r="F120" s="414">
        <v>0</v>
      </c>
      <c r="G120" s="414">
        <v>0</v>
      </c>
      <c r="H120" s="414">
        <v>0</v>
      </c>
      <c r="I120" s="414">
        <v>0</v>
      </c>
      <c r="J120" s="415">
        <v>0</v>
      </c>
      <c r="K120" s="415">
        <v>0.27571724495903072</v>
      </c>
      <c r="L120" s="414">
        <v>0.30627067469913727</v>
      </c>
      <c r="M120" s="414">
        <v>0</v>
      </c>
      <c r="N120" s="414">
        <v>0.33381359535169353</v>
      </c>
      <c r="O120" s="415">
        <v>0.27883582675068724</v>
      </c>
      <c r="P120" s="415">
        <v>0</v>
      </c>
      <c r="Q120" s="414">
        <v>0</v>
      </c>
      <c r="R120" s="415">
        <v>0</v>
      </c>
      <c r="S120" s="415">
        <v>0</v>
      </c>
      <c r="T120" s="415">
        <v>0</v>
      </c>
      <c r="U120" s="415">
        <v>0.27883582675068724</v>
      </c>
      <c r="V120" s="421"/>
    </row>
    <row r="121" spans="1:22">
      <c r="A121" s="416"/>
      <c r="B121" s="417" t="s">
        <v>594</v>
      </c>
      <c r="C121" s="418">
        <v>0</v>
      </c>
      <c r="D121" s="419">
        <v>0</v>
      </c>
      <c r="E121" s="419">
        <v>0</v>
      </c>
      <c r="F121" s="419">
        <v>0</v>
      </c>
      <c r="G121" s="419">
        <v>0</v>
      </c>
      <c r="H121" s="419">
        <v>0</v>
      </c>
      <c r="I121" s="419">
        <v>0</v>
      </c>
      <c r="J121" s="420">
        <v>0</v>
      </c>
      <c r="K121" s="420">
        <v>0.29033888001688829</v>
      </c>
      <c r="L121" s="419">
        <v>0.34414412074138534</v>
      </c>
      <c r="M121" s="419">
        <v>0</v>
      </c>
      <c r="N121" s="419">
        <v>0.36130953822311546</v>
      </c>
      <c r="O121" s="420">
        <v>0.29568381319741011</v>
      </c>
      <c r="P121" s="420">
        <v>0</v>
      </c>
      <c r="Q121" s="419">
        <v>0</v>
      </c>
      <c r="R121" s="420">
        <v>0</v>
      </c>
      <c r="S121" s="420">
        <v>0</v>
      </c>
      <c r="T121" s="420">
        <v>0</v>
      </c>
      <c r="U121" s="420">
        <v>0.29568381319741011</v>
      </c>
      <c r="V121" s="421"/>
    </row>
    <row r="122" spans="1:22">
      <c r="A122" s="416"/>
      <c r="B122" s="422" t="s">
        <v>595</v>
      </c>
      <c r="C122" s="423">
        <v>0</v>
      </c>
      <c r="D122" s="424">
        <v>0</v>
      </c>
      <c r="E122" s="424">
        <v>0</v>
      </c>
      <c r="F122" s="424">
        <v>0</v>
      </c>
      <c r="G122" s="424">
        <v>0</v>
      </c>
      <c r="H122" s="424">
        <v>0</v>
      </c>
      <c r="I122" s="424">
        <v>0</v>
      </c>
      <c r="J122" s="426">
        <v>0</v>
      </c>
      <c r="K122" s="426">
        <v>1.4621635057857574</v>
      </c>
      <c r="L122" s="424">
        <v>3.7873446042248071</v>
      </c>
      <c r="M122" s="424">
        <v>0</v>
      </c>
      <c r="N122" s="424">
        <v>2.7495942871421928</v>
      </c>
      <c r="O122" s="426">
        <v>1.6847986446722862</v>
      </c>
      <c r="P122" s="426">
        <v>0</v>
      </c>
      <c r="Q122" s="424">
        <v>0</v>
      </c>
      <c r="R122" s="426">
        <v>0</v>
      </c>
      <c r="S122" s="426">
        <v>0</v>
      </c>
      <c r="T122" s="426">
        <v>0</v>
      </c>
      <c r="U122" s="426">
        <v>1.6847986446722862</v>
      </c>
      <c r="V122" s="421"/>
    </row>
    <row r="123" spans="1:22">
      <c r="A123" s="416"/>
      <c r="B123" s="394" t="s">
        <v>596</v>
      </c>
      <c r="C123" s="413">
        <v>0</v>
      </c>
      <c r="D123" s="414">
        <v>0</v>
      </c>
      <c r="E123" s="414">
        <v>0</v>
      </c>
      <c r="F123" s="414">
        <v>0</v>
      </c>
      <c r="G123" s="414">
        <v>0</v>
      </c>
      <c r="H123" s="414">
        <v>0</v>
      </c>
      <c r="I123" s="414">
        <v>0</v>
      </c>
      <c r="J123" s="415">
        <v>0</v>
      </c>
      <c r="K123" s="415">
        <v>1.0779619479432376E-4</v>
      </c>
      <c r="L123" s="414">
        <v>0</v>
      </c>
      <c r="M123" s="414">
        <v>0</v>
      </c>
      <c r="N123" s="414">
        <v>0</v>
      </c>
      <c r="O123" s="415">
        <v>9.7247080685638224E-5</v>
      </c>
      <c r="P123" s="415">
        <v>0</v>
      </c>
      <c r="Q123" s="414">
        <v>0</v>
      </c>
      <c r="R123" s="415">
        <v>0</v>
      </c>
      <c r="S123" s="415">
        <v>0</v>
      </c>
      <c r="T123" s="415">
        <v>0</v>
      </c>
      <c r="U123" s="415">
        <v>9.7247080685638224E-5</v>
      </c>
      <c r="V123" s="421"/>
    </row>
    <row r="124" spans="1:22">
      <c r="A124" s="416"/>
      <c r="B124" s="417" t="s">
        <v>597</v>
      </c>
      <c r="C124" s="418">
        <v>0</v>
      </c>
      <c r="D124" s="419">
        <v>0</v>
      </c>
      <c r="E124" s="419">
        <v>0</v>
      </c>
      <c r="F124" s="419">
        <v>0</v>
      </c>
      <c r="G124" s="419">
        <v>0</v>
      </c>
      <c r="H124" s="419">
        <v>0</v>
      </c>
      <c r="I124" s="419">
        <v>0</v>
      </c>
      <c r="J124" s="420">
        <v>0</v>
      </c>
      <c r="K124" s="420">
        <v>1.1166015437932592E-4</v>
      </c>
      <c r="L124" s="419">
        <v>0</v>
      </c>
      <c r="M124" s="419">
        <v>0</v>
      </c>
      <c r="N124" s="419">
        <v>0</v>
      </c>
      <c r="O124" s="420">
        <v>1.007301281168205E-4</v>
      </c>
      <c r="P124" s="420">
        <v>0</v>
      </c>
      <c r="Q124" s="419">
        <v>0</v>
      </c>
      <c r="R124" s="420">
        <v>0</v>
      </c>
      <c r="S124" s="420">
        <v>0</v>
      </c>
      <c r="T124" s="420">
        <v>0</v>
      </c>
      <c r="U124" s="420">
        <v>1.007301281168205E-4</v>
      </c>
      <c r="V124" s="421"/>
    </row>
    <row r="125" spans="1:22">
      <c r="A125" s="416"/>
      <c r="B125" s="422" t="s">
        <v>598</v>
      </c>
      <c r="C125" s="423">
        <v>0</v>
      </c>
      <c r="D125" s="424">
        <v>0</v>
      </c>
      <c r="E125" s="424">
        <v>0</v>
      </c>
      <c r="F125" s="424">
        <v>0</v>
      </c>
      <c r="G125" s="424">
        <v>0</v>
      </c>
      <c r="H125" s="424">
        <v>0</v>
      </c>
      <c r="I125" s="424">
        <v>0</v>
      </c>
      <c r="J125" s="426">
        <v>0</v>
      </c>
      <c r="K125" s="426">
        <v>3.8639595850021566E-4</v>
      </c>
      <c r="L125" s="424">
        <v>0</v>
      </c>
      <c r="M125" s="424">
        <v>0</v>
      </c>
      <c r="N125" s="424">
        <v>0</v>
      </c>
      <c r="O125" s="426">
        <v>3.48304743118228E-4</v>
      </c>
      <c r="P125" s="426">
        <v>0</v>
      </c>
      <c r="Q125" s="424">
        <v>0</v>
      </c>
      <c r="R125" s="426">
        <v>0</v>
      </c>
      <c r="S125" s="426">
        <v>0</v>
      </c>
      <c r="T125" s="426">
        <v>0</v>
      </c>
      <c r="U125" s="426">
        <v>3.48304743118228E-4</v>
      </c>
      <c r="V125" s="421"/>
    </row>
    <row r="126" spans="1:22">
      <c r="A126" s="416"/>
      <c r="B126" s="394" t="s">
        <v>599</v>
      </c>
      <c r="C126" s="413">
        <v>0</v>
      </c>
      <c r="D126" s="414">
        <v>0</v>
      </c>
      <c r="E126" s="414">
        <v>0</v>
      </c>
      <c r="F126" s="414">
        <v>0</v>
      </c>
      <c r="G126" s="414">
        <v>0</v>
      </c>
      <c r="H126" s="414">
        <v>0</v>
      </c>
      <c r="I126" s="414">
        <v>0</v>
      </c>
      <c r="J126" s="415">
        <v>0</v>
      </c>
      <c r="K126" s="415">
        <v>4.6061485140685646E-3</v>
      </c>
      <c r="L126" s="414">
        <v>0</v>
      </c>
      <c r="M126" s="414">
        <v>0</v>
      </c>
      <c r="N126" s="414">
        <v>1.9131749255987529E-3</v>
      </c>
      <c r="O126" s="415">
        <v>4.1643140480905555E-3</v>
      </c>
      <c r="P126" s="415">
        <v>0</v>
      </c>
      <c r="Q126" s="414">
        <v>0</v>
      </c>
      <c r="R126" s="415">
        <v>0</v>
      </c>
      <c r="S126" s="415">
        <v>0</v>
      </c>
      <c r="T126" s="415">
        <v>0</v>
      </c>
      <c r="U126" s="415">
        <v>4.1643140480905555E-3</v>
      </c>
      <c r="V126" s="421"/>
    </row>
    <row r="127" spans="1:22">
      <c r="A127" s="416"/>
      <c r="B127" s="417" t="s">
        <v>600</v>
      </c>
      <c r="C127" s="418">
        <v>0</v>
      </c>
      <c r="D127" s="419">
        <v>0</v>
      </c>
      <c r="E127" s="419">
        <v>0</v>
      </c>
      <c r="F127" s="419">
        <v>0</v>
      </c>
      <c r="G127" s="419">
        <v>0</v>
      </c>
      <c r="H127" s="419">
        <v>0</v>
      </c>
      <c r="I127" s="419">
        <v>0</v>
      </c>
      <c r="J127" s="420">
        <v>0</v>
      </c>
      <c r="K127" s="420">
        <v>4.7194129363542009E-3</v>
      </c>
      <c r="L127" s="419">
        <v>0</v>
      </c>
      <c r="M127" s="419">
        <v>0</v>
      </c>
      <c r="N127" s="419">
        <v>0</v>
      </c>
      <c r="O127" s="420">
        <v>4.2574459291913483E-3</v>
      </c>
      <c r="P127" s="420">
        <v>0</v>
      </c>
      <c r="Q127" s="419">
        <v>0</v>
      </c>
      <c r="R127" s="420">
        <v>0</v>
      </c>
      <c r="S127" s="420">
        <v>0</v>
      </c>
      <c r="T127" s="420">
        <v>0</v>
      </c>
      <c r="U127" s="420">
        <v>4.2574459291913483E-3</v>
      </c>
      <c r="V127" s="421"/>
    </row>
    <row r="128" spans="1:22">
      <c r="A128" s="416"/>
      <c r="B128" s="422" t="s">
        <v>601</v>
      </c>
      <c r="C128" s="423">
        <v>0</v>
      </c>
      <c r="D128" s="424">
        <v>0</v>
      </c>
      <c r="E128" s="424">
        <v>0</v>
      </c>
      <c r="F128" s="424">
        <v>0</v>
      </c>
      <c r="G128" s="424">
        <v>0</v>
      </c>
      <c r="H128" s="424">
        <v>0</v>
      </c>
      <c r="I128" s="424">
        <v>0</v>
      </c>
      <c r="J128" s="426">
        <v>0</v>
      </c>
      <c r="K128" s="426">
        <v>1.1326442228563622E-2</v>
      </c>
      <c r="L128" s="424">
        <v>0</v>
      </c>
      <c r="M128" s="424">
        <v>0</v>
      </c>
      <c r="N128" s="424">
        <v>-0.19131749255987529</v>
      </c>
      <c r="O128" s="426">
        <v>9.313188110079279E-3</v>
      </c>
      <c r="P128" s="426">
        <v>0</v>
      </c>
      <c r="Q128" s="424">
        <v>0</v>
      </c>
      <c r="R128" s="426">
        <v>0</v>
      </c>
      <c r="S128" s="426">
        <v>0</v>
      </c>
      <c r="T128" s="426">
        <v>0</v>
      </c>
      <c r="U128" s="426">
        <v>9.313188110079279E-3</v>
      </c>
      <c r="V128" s="421"/>
    </row>
    <row r="129" spans="1:22">
      <c r="A129" s="416"/>
      <c r="B129" s="394" t="s">
        <v>602</v>
      </c>
      <c r="C129" s="413">
        <v>0</v>
      </c>
      <c r="D129" s="414">
        <v>0</v>
      </c>
      <c r="E129" s="414">
        <v>0</v>
      </c>
      <c r="F129" s="414">
        <v>0</v>
      </c>
      <c r="G129" s="414">
        <v>0</v>
      </c>
      <c r="H129" s="414">
        <v>0</v>
      </c>
      <c r="I129" s="414">
        <v>0</v>
      </c>
      <c r="J129" s="415">
        <v>0</v>
      </c>
      <c r="K129" s="415">
        <v>3.8021991157045492E-4</v>
      </c>
      <c r="L129" s="414">
        <v>0</v>
      </c>
      <c r="M129" s="414">
        <v>0</v>
      </c>
      <c r="N129" s="414">
        <v>0</v>
      </c>
      <c r="O129" s="415">
        <v>3.4301096146600966E-4</v>
      </c>
      <c r="P129" s="415">
        <v>0</v>
      </c>
      <c r="Q129" s="414">
        <v>0</v>
      </c>
      <c r="R129" s="415">
        <v>0</v>
      </c>
      <c r="S129" s="415">
        <v>0</v>
      </c>
      <c r="T129" s="415">
        <v>0</v>
      </c>
      <c r="U129" s="415">
        <v>3.4301096146600966E-4</v>
      </c>
      <c r="V129" s="421"/>
    </row>
    <row r="130" spans="1:22">
      <c r="A130" s="416"/>
      <c r="B130" s="417" t="s">
        <v>603</v>
      </c>
      <c r="C130" s="418">
        <v>0</v>
      </c>
      <c r="D130" s="419">
        <v>0</v>
      </c>
      <c r="E130" s="419">
        <v>0</v>
      </c>
      <c r="F130" s="419">
        <v>0</v>
      </c>
      <c r="G130" s="419">
        <v>0</v>
      </c>
      <c r="H130" s="419">
        <v>0</v>
      </c>
      <c r="I130" s="419">
        <v>0</v>
      </c>
      <c r="J130" s="420">
        <v>0</v>
      </c>
      <c r="K130" s="420">
        <v>4.1231183920155905E-4</v>
      </c>
      <c r="L130" s="419">
        <v>0</v>
      </c>
      <c r="M130" s="419">
        <v>0</v>
      </c>
      <c r="N130" s="419">
        <v>0</v>
      </c>
      <c r="O130" s="420">
        <v>3.7195205951232952E-4</v>
      </c>
      <c r="P130" s="420">
        <v>0</v>
      </c>
      <c r="Q130" s="419">
        <v>0</v>
      </c>
      <c r="R130" s="420">
        <v>0</v>
      </c>
      <c r="S130" s="420">
        <v>0</v>
      </c>
      <c r="T130" s="420">
        <v>0</v>
      </c>
      <c r="U130" s="420">
        <v>3.7195205951232952E-4</v>
      </c>
      <c r="V130" s="421"/>
    </row>
    <row r="131" spans="1:22" ht="15" thickBot="1">
      <c r="A131" s="416"/>
      <c r="B131" s="428" t="s">
        <v>604</v>
      </c>
      <c r="C131" s="429">
        <v>0</v>
      </c>
      <c r="D131" s="430">
        <v>0</v>
      </c>
      <c r="E131" s="430">
        <v>0</v>
      </c>
      <c r="F131" s="430">
        <v>0</v>
      </c>
      <c r="G131" s="430">
        <v>0</v>
      </c>
      <c r="H131" s="430">
        <v>0</v>
      </c>
      <c r="I131" s="430">
        <v>0</v>
      </c>
      <c r="J131" s="431">
        <v>0</v>
      </c>
      <c r="K131" s="431">
        <v>3.2091927631104134E-3</v>
      </c>
      <c r="L131" s="430">
        <v>0</v>
      </c>
      <c r="M131" s="430">
        <v>0</v>
      </c>
      <c r="N131" s="430">
        <v>0</v>
      </c>
      <c r="O131" s="431">
        <v>2.8941098046319862E-3</v>
      </c>
      <c r="P131" s="431">
        <v>0</v>
      </c>
      <c r="Q131" s="430">
        <v>0</v>
      </c>
      <c r="R131" s="431">
        <v>0</v>
      </c>
      <c r="S131" s="431">
        <v>0</v>
      </c>
      <c r="T131" s="431">
        <v>0</v>
      </c>
      <c r="U131" s="431">
        <v>2.8941098046319862E-3</v>
      </c>
      <c r="V131" s="421"/>
    </row>
    <row r="132" spans="1:22" ht="15" thickTop="1">
      <c r="A132" s="416"/>
      <c r="B132" s="417" t="s">
        <v>605</v>
      </c>
      <c r="C132" s="418">
        <v>0</v>
      </c>
      <c r="D132" s="419">
        <v>0</v>
      </c>
      <c r="E132" s="419">
        <v>0</v>
      </c>
      <c r="F132" s="419">
        <v>0</v>
      </c>
      <c r="G132" s="419">
        <v>0</v>
      </c>
      <c r="H132" s="419">
        <v>0</v>
      </c>
      <c r="I132" s="419">
        <v>0</v>
      </c>
      <c r="J132" s="420">
        <v>0</v>
      </c>
      <c r="K132" s="420">
        <v>0</v>
      </c>
      <c r="L132" s="419">
        <v>0</v>
      </c>
      <c r="M132" s="419">
        <v>0</v>
      </c>
      <c r="N132" s="419">
        <v>0</v>
      </c>
      <c r="O132" s="420">
        <v>0</v>
      </c>
      <c r="P132" s="420">
        <v>0</v>
      </c>
      <c r="Q132" s="419">
        <v>0</v>
      </c>
      <c r="R132" s="420">
        <v>0</v>
      </c>
      <c r="S132" s="420">
        <v>0</v>
      </c>
      <c r="T132" s="420">
        <v>0</v>
      </c>
      <c r="U132" s="420">
        <v>0</v>
      </c>
      <c r="V132" s="421"/>
    </row>
    <row r="133" spans="1:22">
      <c r="A133" s="416"/>
      <c r="B133" s="417" t="s">
        <v>606</v>
      </c>
      <c r="C133" s="418">
        <v>0</v>
      </c>
      <c r="D133" s="419">
        <v>0</v>
      </c>
      <c r="E133" s="419">
        <v>0</v>
      </c>
      <c r="F133" s="419">
        <v>0</v>
      </c>
      <c r="G133" s="419">
        <v>0</v>
      </c>
      <c r="H133" s="419">
        <v>0</v>
      </c>
      <c r="I133" s="419">
        <v>0</v>
      </c>
      <c r="J133" s="420">
        <v>0</v>
      </c>
      <c r="K133" s="420">
        <v>0</v>
      </c>
      <c r="L133" s="419">
        <v>0</v>
      </c>
      <c r="M133" s="419">
        <v>0</v>
      </c>
      <c r="N133" s="419">
        <v>0</v>
      </c>
      <c r="O133" s="420">
        <v>0</v>
      </c>
      <c r="P133" s="420">
        <v>0</v>
      </c>
      <c r="Q133" s="419">
        <v>0</v>
      </c>
      <c r="R133" s="420">
        <v>0</v>
      </c>
      <c r="S133" s="420">
        <v>0</v>
      </c>
      <c r="T133" s="420">
        <v>0</v>
      </c>
      <c r="U133" s="420">
        <v>0</v>
      </c>
      <c r="V133" s="421"/>
    </row>
    <row r="134" spans="1:22">
      <c r="A134" s="416"/>
      <c r="B134" s="422" t="s">
        <v>607</v>
      </c>
      <c r="C134" s="423">
        <v>0</v>
      </c>
      <c r="D134" s="424">
        <v>0</v>
      </c>
      <c r="E134" s="424">
        <v>0</v>
      </c>
      <c r="F134" s="424">
        <v>0</v>
      </c>
      <c r="G134" s="424">
        <v>0</v>
      </c>
      <c r="H134" s="424">
        <v>0</v>
      </c>
      <c r="I134" s="424">
        <v>0</v>
      </c>
      <c r="J134" s="426">
        <v>0</v>
      </c>
      <c r="K134" s="426">
        <v>0</v>
      </c>
      <c r="L134" s="424">
        <v>0</v>
      </c>
      <c r="M134" s="424">
        <v>0</v>
      </c>
      <c r="N134" s="424">
        <v>0</v>
      </c>
      <c r="O134" s="426">
        <v>0</v>
      </c>
      <c r="P134" s="426">
        <v>0</v>
      </c>
      <c r="Q134" s="424">
        <v>0</v>
      </c>
      <c r="R134" s="426">
        <v>0</v>
      </c>
      <c r="S134" s="426">
        <v>0</v>
      </c>
      <c r="T134" s="426">
        <v>0</v>
      </c>
      <c r="U134" s="426">
        <v>0</v>
      </c>
      <c r="V134" s="421"/>
    </row>
    <row r="135" spans="1:22">
      <c r="A135" s="416"/>
      <c r="B135" s="394" t="s">
        <v>608</v>
      </c>
      <c r="C135" s="413">
        <v>0</v>
      </c>
      <c r="D135" s="414">
        <v>0</v>
      </c>
      <c r="E135" s="414">
        <v>0</v>
      </c>
      <c r="F135" s="414">
        <v>0</v>
      </c>
      <c r="G135" s="414">
        <v>0</v>
      </c>
      <c r="H135" s="414">
        <v>0</v>
      </c>
      <c r="I135" s="414">
        <v>0</v>
      </c>
      <c r="J135" s="415">
        <v>0</v>
      </c>
      <c r="K135" s="415">
        <v>0</v>
      </c>
      <c r="L135" s="414">
        <v>0</v>
      </c>
      <c r="M135" s="414">
        <v>0</v>
      </c>
      <c r="N135" s="414">
        <v>0</v>
      </c>
      <c r="O135" s="415">
        <v>0</v>
      </c>
      <c r="P135" s="415">
        <v>0</v>
      </c>
      <c r="Q135" s="414">
        <v>0</v>
      </c>
      <c r="R135" s="415">
        <v>0</v>
      </c>
      <c r="S135" s="415">
        <v>0</v>
      </c>
      <c r="T135" s="415">
        <v>0</v>
      </c>
      <c r="U135" s="415">
        <v>0</v>
      </c>
      <c r="V135" s="421"/>
    </row>
    <row r="136" spans="1:22">
      <c r="A136" s="416"/>
      <c r="B136" s="417" t="s">
        <v>609</v>
      </c>
      <c r="C136" s="418">
        <v>0</v>
      </c>
      <c r="D136" s="419">
        <v>0</v>
      </c>
      <c r="E136" s="419">
        <v>0</v>
      </c>
      <c r="F136" s="419">
        <v>0</v>
      </c>
      <c r="G136" s="419">
        <v>0</v>
      </c>
      <c r="H136" s="419">
        <v>0</v>
      </c>
      <c r="I136" s="419">
        <v>0</v>
      </c>
      <c r="J136" s="420">
        <v>0</v>
      </c>
      <c r="K136" s="420">
        <v>0</v>
      </c>
      <c r="L136" s="419">
        <v>0</v>
      </c>
      <c r="M136" s="419">
        <v>0</v>
      </c>
      <c r="N136" s="419">
        <v>0</v>
      </c>
      <c r="O136" s="420">
        <v>0</v>
      </c>
      <c r="P136" s="420">
        <v>0</v>
      </c>
      <c r="Q136" s="419">
        <v>0</v>
      </c>
      <c r="R136" s="420">
        <v>0</v>
      </c>
      <c r="S136" s="420">
        <v>0</v>
      </c>
      <c r="T136" s="420">
        <v>0</v>
      </c>
      <c r="U136" s="420">
        <v>0</v>
      </c>
      <c r="V136" s="421"/>
    </row>
    <row r="137" spans="1:22">
      <c r="A137" s="416"/>
      <c r="B137" s="422" t="s">
        <v>610</v>
      </c>
      <c r="C137" s="423">
        <v>0</v>
      </c>
      <c r="D137" s="424">
        <v>0</v>
      </c>
      <c r="E137" s="424">
        <v>0</v>
      </c>
      <c r="F137" s="424">
        <v>0</v>
      </c>
      <c r="G137" s="424">
        <v>0</v>
      </c>
      <c r="H137" s="424">
        <v>0</v>
      </c>
      <c r="I137" s="424">
        <v>0</v>
      </c>
      <c r="J137" s="426">
        <v>0</v>
      </c>
      <c r="K137" s="426">
        <v>0</v>
      </c>
      <c r="L137" s="424">
        <v>0</v>
      </c>
      <c r="M137" s="424">
        <v>0</v>
      </c>
      <c r="N137" s="424">
        <v>0</v>
      </c>
      <c r="O137" s="426">
        <v>0</v>
      </c>
      <c r="P137" s="426">
        <v>0</v>
      </c>
      <c r="Q137" s="424">
        <v>0</v>
      </c>
      <c r="R137" s="426">
        <v>0</v>
      </c>
      <c r="S137" s="426">
        <v>0</v>
      </c>
      <c r="T137" s="426">
        <v>0</v>
      </c>
      <c r="U137" s="426">
        <v>0</v>
      </c>
      <c r="V137" s="421"/>
    </row>
    <row r="138" spans="1:22">
      <c r="A138" s="416"/>
      <c r="B138" s="394" t="s">
        <v>611</v>
      </c>
      <c r="C138" s="413">
        <v>0</v>
      </c>
      <c r="D138" s="414">
        <v>0</v>
      </c>
      <c r="E138" s="414">
        <v>0</v>
      </c>
      <c r="F138" s="414">
        <v>0</v>
      </c>
      <c r="G138" s="414">
        <v>0</v>
      </c>
      <c r="H138" s="414">
        <v>0</v>
      </c>
      <c r="I138" s="414">
        <v>0</v>
      </c>
      <c r="J138" s="415">
        <v>0</v>
      </c>
      <c r="K138" s="415">
        <v>0</v>
      </c>
      <c r="L138" s="414">
        <v>0</v>
      </c>
      <c r="M138" s="414">
        <v>0</v>
      </c>
      <c r="N138" s="414">
        <v>0</v>
      </c>
      <c r="O138" s="415">
        <v>0</v>
      </c>
      <c r="P138" s="415">
        <v>0</v>
      </c>
      <c r="Q138" s="414">
        <v>0</v>
      </c>
      <c r="R138" s="415">
        <v>0</v>
      </c>
      <c r="S138" s="415">
        <v>0</v>
      </c>
      <c r="T138" s="415">
        <v>0</v>
      </c>
      <c r="U138" s="415">
        <v>0</v>
      </c>
      <c r="V138" s="421"/>
    </row>
    <row r="139" spans="1:22">
      <c r="A139" s="416"/>
      <c r="B139" s="417" t="s">
        <v>612</v>
      </c>
      <c r="C139" s="418">
        <v>0</v>
      </c>
      <c r="D139" s="419">
        <v>0</v>
      </c>
      <c r="E139" s="419">
        <v>0</v>
      </c>
      <c r="F139" s="419">
        <v>0</v>
      </c>
      <c r="G139" s="419">
        <v>0</v>
      </c>
      <c r="H139" s="419">
        <v>0</v>
      </c>
      <c r="I139" s="419">
        <v>0</v>
      </c>
      <c r="J139" s="420">
        <v>0</v>
      </c>
      <c r="K139" s="420">
        <v>0</v>
      </c>
      <c r="L139" s="419">
        <v>0</v>
      </c>
      <c r="M139" s="419">
        <v>0</v>
      </c>
      <c r="N139" s="419">
        <v>0</v>
      </c>
      <c r="O139" s="420">
        <v>0</v>
      </c>
      <c r="P139" s="420">
        <v>0</v>
      </c>
      <c r="Q139" s="419">
        <v>0</v>
      </c>
      <c r="R139" s="420">
        <v>0</v>
      </c>
      <c r="S139" s="420">
        <v>0</v>
      </c>
      <c r="T139" s="420">
        <v>0</v>
      </c>
      <c r="U139" s="420">
        <v>0</v>
      </c>
      <c r="V139" s="421"/>
    </row>
    <row r="140" spans="1:22">
      <c r="A140" s="416"/>
      <c r="B140" s="422" t="s">
        <v>613</v>
      </c>
      <c r="C140" s="423">
        <v>0</v>
      </c>
      <c r="D140" s="424">
        <v>0</v>
      </c>
      <c r="E140" s="424">
        <v>0</v>
      </c>
      <c r="F140" s="424">
        <v>0</v>
      </c>
      <c r="G140" s="424">
        <v>0</v>
      </c>
      <c r="H140" s="424">
        <v>0</v>
      </c>
      <c r="I140" s="424">
        <v>0</v>
      </c>
      <c r="J140" s="426">
        <v>0</v>
      </c>
      <c r="K140" s="426">
        <v>0</v>
      </c>
      <c r="L140" s="424">
        <v>0</v>
      </c>
      <c r="M140" s="424">
        <v>0</v>
      </c>
      <c r="N140" s="424">
        <v>0</v>
      </c>
      <c r="O140" s="426">
        <v>0</v>
      </c>
      <c r="P140" s="426">
        <v>0</v>
      </c>
      <c r="Q140" s="424">
        <v>0</v>
      </c>
      <c r="R140" s="426">
        <v>0</v>
      </c>
      <c r="S140" s="426">
        <v>0</v>
      </c>
      <c r="T140" s="426">
        <v>0</v>
      </c>
      <c r="U140" s="426">
        <v>0</v>
      </c>
      <c r="V140" s="421"/>
    </row>
    <row r="141" spans="1:22">
      <c r="A141" s="416"/>
      <c r="B141" s="394" t="s">
        <v>614</v>
      </c>
      <c r="C141" s="413">
        <v>0</v>
      </c>
      <c r="D141" s="414">
        <v>0</v>
      </c>
      <c r="E141" s="414">
        <v>0</v>
      </c>
      <c r="F141" s="414">
        <v>0</v>
      </c>
      <c r="G141" s="414">
        <v>0</v>
      </c>
      <c r="H141" s="414">
        <v>0</v>
      </c>
      <c r="I141" s="414">
        <v>0</v>
      </c>
      <c r="J141" s="415">
        <v>0</v>
      </c>
      <c r="K141" s="415">
        <v>0</v>
      </c>
      <c r="L141" s="414">
        <v>0</v>
      </c>
      <c r="M141" s="414">
        <v>0</v>
      </c>
      <c r="N141" s="414">
        <v>0</v>
      </c>
      <c r="O141" s="415">
        <v>0</v>
      </c>
      <c r="P141" s="415">
        <v>0</v>
      </c>
      <c r="Q141" s="414">
        <v>0</v>
      </c>
      <c r="R141" s="415">
        <v>0</v>
      </c>
      <c r="S141" s="415">
        <v>0</v>
      </c>
      <c r="T141" s="415">
        <v>0</v>
      </c>
      <c r="U141" s="415">
        <v>0</v>
      </c>
      <c r="V141" s="421"/>
    </row>
    <row r="142" spans="1:22">
      <c r="A142" s="416"/>
      <c r="B142" s="417" t="s">
        <v>615</v>
      </c>
      <c r="C142" s="418">
        <v>0</v>
      </c>
      <c r="D142" s="419">
        <v>0</v>
      </c>
      <c r="E142" s="419">
        <v>0</v>
      </c>
      <c r="F142" s="419">
        <v>0</v>
      </c>
      <c r="G142" s="419">
        <v>0</v>
      </c>
      <c r="H142" s="419">
        <v>0</v>
      </c>
      <c r="I142" s="419">
        <v>0</v>
      </c>
      <c r="J142" s="420">
        <v>0</v>
      </c>
      <c r="K142" s="420">
        <v>0</v>
      </c>
      <c r="L142" s="419">
        <v>0</v>
      </c>
      <c r="M142" s="419">
        <v>0</v>
      </c>
      <c r="N142" s="419">
        <v>0</v>
      </c>
      <c r="O142" s="420">
        <v>0</v>
      </c>
      <c r="P142" s="420">
        <v>0</v>
      </c>
      <c r="Q142" s="419">
        <v>0</v>
      </c>
      <c r="R142" s="420">
        <v>0</v>
      </c>
      <c r="S142" s="420">
        <v>0</v>
      </c>
      <c r="T142" s="420">
        <v>0</v>
      </c>
      <c r="U142" s="420">
        <v>0</v>
      </c>
      <c r="V142" s="421"/>
    </row>
    <row r="143" spans="1:22">
      <c r="A143" s="416"/>
      <c r="B143" s="422" t="s">
        <v>616</v>
      </c>
      <c r="C143" s="423">
        <v>0</v>
      </c>
      <c r="D143" s="424">
        <v>0</v>
      </c>
      <c r="E143" s="424">
        <v>0</v>
      </c>
      <c r="F143" s="424">
        <v>0</v>
      </c>
      <c r="G143" s="424">
        <v>0</v>
      </c>
      <c r="H143" s="424">
        <v>0</v>
      </c>
      <c r="I143" s="424">
        <v>0</v>
      </c>
      <c r="J143" s="426">
        <v>0</v>
      </c>
      <c r="K143" s="426">
        <v>0</v>
      </c>
      <c r="L143" s="424">
        <v>0</v>
      </c>
      <c r="M143" s="424">
        <v>0</v>
      </c>
      <c r="N143" s="424">
        <v>0</v>
      </c>
      <c r="O143" s="426">
        <v>0</v>
      </c>
      <c r="P143" s="426">
        <v>0</v>
      </c>
      <c r="Q143" s="424">
        <v>0</v>
      </c>
      <c r="R143" s="426">
        <v>0</v>
      </c>
      <c r="S143" s="426">
        <v>0</v>
      </c>
      <c r="T143" s="426">
        <v>0</v>
      </c>
      <c r="U143" s="426">
        <v>0</v>
      </c>
      <c r="V143" s="421"/>
    </row>
    <row r="144" spans="1:22">
      <c r="A144" s="416"/>
      <c r="B144" s="394" t="s">
        <v>617</v>
      </c>
      <c r="C144" s="413">
        <v>0</v>
      </c>
      <c r="D144" s="414">
        <v>0</v>
      </c>
      <c r="E144" s="414">
        <v>0</v>
      </c>
      <c r="F144" s="414">
        <v>0</v>
      </c>
      <c r="G144" s="414">
        <v>0</v>
      </c>
      <c r="H144" s="414">
        <v>0</v>
      </c>
      <c r="I144" s="414">
        <v>0</v>
      </c>
      <c r="J144" s="415">
        <v>0</v>
      </c>
      <c r="K144" s="415">
        <v>0</v>
      </c>
      <c r="L144" s="414">
        <v>0</v>
      </c>
      <c r="M144" s="414">
        <v>0</v>
      </c>
      <c r="N144" s="414">
        <v>0</v>
      </c>
      <c r="O144" s="415">
        <v>0</v>
      </c>
      <c r="P144" s="415">
        <v>0</v>
      </c>
      <c r="Q144" s="414">
        <v>0</v>
      </c>
      <c r="R144" s="415">
        <v>0</v>
      </c>
      <c r="S144" s="415">
        <v>0</v>
      </c>
      <c r="T144" s="415">
        <v>0</v>
      </c>
      <c r="U144" s="415">
        <v>0</v>
      </c>
      <c r="V144" s="421"/>
    </row>
    <row r="145" spans="1:22">
      <c r="A145" s="416"/>
      <c r="B145" s="417" t="s">
        <v>618</v>
      </c>
      <c r="C145" s="418">
        <v>0</v>
      </c>
      <c r="D145" s="419">
        <v>0</v>
      </c>
      <c r="E145" s="419">
        <v>0</v>
      </c>
      <c r="F145" s="419">
        <v>0</v>
      </c>
      <c r="G145" s="419">
        <v>0</v>
      </c>
      <c r="H145" s="419">
        <v>0</v>
      </c>
      <c r="I145" s="419">
        <v>0</v>
      </c>
      <c r="J145" s="420">
        <v>0</v>
      </c>
      <c r="K145" s="420">
        <v>0</v>
      </c>
      <c r="L145" s="419">
        <v>0</v>
      </c>
      <c r="M145" s="419">
        <v>0</v>
      </c>
      <c r="N145" s="419">
        <v>0</v>
      </c>
      <c r="O145" s="420">
        <v>0</v>
      </c>
      <c r="P145" s="420">
        <v>0</v>
      </c>
      <c r="Q145" s="419">
        <v>0</v>
      </c>
      <c r="R145" s="420">
        <v>0</v>
      </c>
      <c r="S145" s="420">
        <v>0</v>
      </c>
      <c r="T145" s="420">
        <v>0</v>
      </c>
      <c r="U145" s="420">
        <v>0</v>
      </c>
      <c r="V145" s="421"/>
    </row>
    <row r="146" spans="1:22">
      <c r="A146" s="416"/>
      <c r="B146" s="422" t="s">
        <v>619</v>
      </c>
      <c r="C146" s="423">
        <v>0</v>
      </c>
      <c r="D146" s="424">
        <v>0</v>
      </c>
      <c r="E146" s="424">
        <v>0</v>
      </c>
      <c r="F146" s="424">
        <v>0</v>
      </c>
      <c r="G146" s="424">
        <v>0</v>
      </c>
      <c r="H146" s="424">
        <v>0</v>
      </c>
      <c r="I146" s="424">
        <v>0</v>
      </c>
      <c r="J146" s="426">
        <v>0</v>
      </c>
      <c r="K146" s="426">
        <v>0</v>
      </c>
      <c r="L146" s="424">
        <v>0</v>
      </c>
      <c r="M146" s="424">
        <v>0</v>
      </c>
      <c r="N146" s="424">
        <v>0</v>
      </c>
      <c r="O146" s="426">
        <v>0</v>
      </c>
      <c r="P146" s="426">
        <v>0</v>
      </c>
      <c r="Q146" s="424">
        <v>0</v>
      </c>
      <c r="R146" s="426">
        <v>0</v>
      </c>
      <c r="S146" s="426">
        <v>0</v>
      </c>
      <c r="T146" s="426">
        <v>0</v>
      </c>
      <c r="U146" s="426">
        <v>0</v>
      </c>
      <c r="V146" s="421"/>
    </row>
    <row r="147" spans="1:22">
      <c r="A147" s="416"/>
      <c r="B147" s="394" t="s">
        <v>620</v>
      </c>
      <c r="C147" s="413">
        <v>0</v>
      </c>
      <c r="D147" s="414">
        <v>0</v>
      </c>
      <c r="E147" s="414">
        <v>0</v>
      </c>
      <c r="F147" s="414">
        <v>0</v>
      </c>
      <c r="G147" s="414">
        <v>0</v>
      </c>
      <c r="H147" s="414">
        <v>0</v>
      </c>
      <c r="I147" s="414">
        <v>0</v>
      </c>
      <c r="J147" s="415">
        <v>0</v>
      </c>
      <c r="K147" s="415">
        <v>0</v>
      </c>
      <c r="L147" s="414">
        <v>0</v>
      </c>
      <c r="M147" s="414">
        <v>0</v>
      </c>
      <c r="N147" s="414">
        <v>0</v>
      </c>
      <c r="O147" s="415">
        <v>0</v>
      </c>
      <c r="P147" s="415">
        <v>0</v>
      </c>
      <c r="Q147" s="414">
        <v>0</v>
      </c>
      <c r="R147" s="415">
        <v>0</v>
      </c>
      <c r="S147" s="415">
        <v>0</v>
      </c>
      <c r="T147" s="415">
        <v>0</v>
      </c>
      <c r="U147" s="415">
        <v>0</v>
      </c>
      <c r="V147" s="421"/>
    </row>
    <row r="148" spans="1:22">
      <c r="A148" s="416"/>
      <c r="B148" s="417" t="s">
        <v>621</v>
      </c>
      <c r="C148" s="418">
        <v>0</v>
      </c>
      <c r="D148" s="419">
        <v>0</v>
      </c>
      <c r="E148" s="419">
        <v>0</v>
      </c>
      <c r="F148" s="419">
        <v>0</v>
      </c>
      <c r="G148" s="419">
        <v>0</v>
      </c>
      <c r="H148" s="419">
        <v>0</v>
      </c>
      <c r="I148" s="419">
        <v>0</v>
      </c>
      <c r="J148" s="420">
        <v>0</v>
      </c>
      <c r="K148" s="420">
        <v>0</v>
      </c>
      <c r="L148" s="419">
        <v>0</v>
      </c>
      <c r="M148" s="419">
        <v>0</v>
      </c>
      <c r="N148" s="419">
        <v>0</v>
      </c>
      <c r="O148" s="420">
        <v>0</v>
      </c>
      <c r="P148" s="420">
        <v>0</v>
      </c>
      <c r="Q148" s="419">
        <v>0</v>
      </c>
      <c r="R148" s="420">
        <v>0</v>
      </c>
      <c r="S148" s="420">
        <v>0</v>
      </c>
      <c r="T148" s="420">
        <v>0</v>
      </c>
      <c r="U148" s="420">
        <v>0</v>
      </c>
      <c r="V148" s="421"/>
    </row>
    <row r="149" spans="1:22" ht="15" thickBot="1">
      <c r="A149" s="432"/>
      <c r="B149" s="433" t="s">
        <v>622</v>
      </c>
      <c r="C149" s="434">
        <v>0</v>
      </c>
      <c r="D149" s="435">
        <v>0</v>
      </c>
      <c r="E149" s="435">
        <v>0</v>
      </c>
      <c r="F149" s="435">
        <v>0</v>
      </c>
      <c r="G149" s="435">
        <v>0</v>
      </c>
      <c r="H149" s="435">
        <v>0</v>
      </c>
      <c r="I149" s="435">
        <v>0</v>
      </c>
      <c r="J149" s="436">
        <v>0</v>
      </c>
      <c r="K149" s="436">
        <v>0</v>
      </c>
      <c r="L149" s="435">
        <v>0</v>
      </c>
      <c r="M149" s="435">
        <v>0</v>
      </c>
      <c r="N149" s="435">
        <v>0</v>
      </c>
      <c r="O149" s="436">
        <v>0</v>
      </c>
      <c r="P149" s="436">
        <v>0</v>
      </c>
      <c r="Q149" s="435">
        <v>0</v>
      </c>
      <c r="R149" s="436">
        <v>0</v>
      </c>
      <c r="S149" s="436">
        <v>0</v>
      </c>
      <c r="T149" s="436">
        <v>0</v>
      </c>
      <c r="U149" s="436">
        <v>0</v>
      </c>
      <c r="V149" s="421"/>
    </row>
    <row r="150" spans="1:22">
      <c r="A150" s="412" t="s">
        <v>142</v>
      </c>
      <c r="B150" s="394" t="s">
        <v>587</v>
      </c>
      <c r="C150" s="413">
        <v>0.84783453924052055</v>
      </c>
      <c r="D150" s="414">
        <v>0.93803275398833874</v>
      </c>
      <c r="E150" s="414">
        <v>0.7439621195240862</v>
      </c>
      <c r="F150" s="414">
        <v>0.79196318884875594</v>
      </c>
      <c r="G150" s="414">
        <v>0.85305159922699059</v>
      </c>
      <c r="H150" s="414">
        <v>0.80985799696866312</v>
      </c>
      <c r="I150" s="414">
        <v>0</v>
      </c>
      <c r="J150" s="415">
        <v>0.80641022446906208</v>
      </c>
      <c r="K150" s="415">
        <v>0.54178758071901101</v>
      </c>
      <c r="L150" s="414">
        <v>0</v>
      </c>
      <c r="M150" s="414">
        <v>0</v>
      </c>
      <c r="N150" s="414">
        <v>0</v>
      </c>
      <c r="O150" s="415">
        <v>0.54178758071901101</v>
      </c>
      <c r="P150" s="415">
        <v>0.63456766317035584</v>
      </c>
      <c r="Q150" s="414">
        <v>0</v>
      </c>
      <c r="R150" s="415">
        <v>0.63456766317035584</v>
      </c>
      <c r="S150" s="415">
        <v>0</v>
      </c>
      <c r="T150" s="415">
        <v>0</v>
      </c>
      <c r="U150" s="415">
        <v>0.76016280101770828</v>
      </c>
      <c r="V150" s="421"/>
    </row>
    <row r="151" spans="1:22">
      <c r="A151" s="416"/>
      <c r="B151" s="417" t="s">
        <v>588</v>
      </c>
      <c r="C151" s="418">
        <v>0.83881609911783617</v>
      </c>
      <c r="D151" s="419">
        <v>0.94081041326315029</v>
      </c>
      <c r="E151" s="419">
        <v>0.70409439160180409</v>
      </c>
      <c r="F151" s="419">
        <v>0.77148085517402509</v>
      </c>
      <c r="G151" s="419">
        <v>0.80413594781333231</v>
      </c>
      <c r="H151" s="419">
        <v>0.79902168396168038</v>
      </c>
      <c r="I151" s="419">
        <v>0</v>
      </c>
      <c r="J151" s="420">
        <v>0.78614223104660064</v>
      </c>
      <c r="K151" s="420">
        <v>0.52471761675143669</v>
      </c>
      <c r="L151" s="419">
        <v>0</v>
      </c>
      <c r="M151" s="419">
        <v>0</v>
      </c>
      <c r="N151" s="419">
        <v>0</v>
      </c>
      <c r="O151" s="420">
        <v>0.52471761675143669</v>
      </c>
      <c r="P151" s="420">
        <v>0.61294044341152465</v>
      </c>
      <c r="Q151" s="419">
        <v>0</v>
      </c>
      <c r="R151" s="420">
        <v>0.61294044341152465</v>
      </c>
      <c r="S151" s="420">
        <v>0</v>
      </c>
      <c r="T151" s="420">
        <v>0</v>
      </c>
      <c r="U151" s="420">
        <v>0.73951046661013409</v>
      </c>
      <c r="V151" s="421"/>
    </row>
    <row r="152" spans="1:22">
      <c r="A152" s="416"/>
      <c r="B152" s="422" t="s">
        <v>589</v>
      </c>
      <c r="C152" s="423">
        <v>-0.90184401226843791</v>
      </c>
      <c r="D152" s="424">
        <v>0.27776592748115503</v>
      </c>
      <c r="E152" s="424">
        <v>-3.9867727922282103</v>
      </c>
      <c r="F152" s="424">
        <v>-2.0482333674730846</v>
      </c>
      <c r="G152" s="424">
        <v>-4.8915651413658274</v>
      </c>
      <c r="H152" s="424">
        <v>-1.0836313006982734</v>
      </c>
      <c r="I152" s="424">
        <v>0</v>
      </c>
      <c r="J152" s="426">
        <v>-2.0267993422461439</v>
      </c>
      <c r="K152" s="426">
        <v>-1.706996396757432</v>
      </c>
      <c r="L152" s="424">
        <v>0</v>
      </c>
      <c r="M152" s="424">
        <v>0</v>
      </c>
      <c r="N152" s="424">
        <v>0</v>
      </c>
      <c r="O152" s="426">
        <v>-1.706996396757432</v>
      </c>
      <c r="P152" s="426">
        <v>-2.1627219758831195</v>
      </c>
      <c r="Q152" s="424">
        <v>0</v>
      </c>
      <c r="R152" s="426">
        <v>-2.1627219758831195</v>
      </c>
      <c r="S152" s="426">
        <v>0</v>
      </c>
      <c r="T152" s="426">
        <v>0</v>
      </c>
      <c r="U152" s="426">
        <v>-2.0652334407574191</v>
      </c>
      <c r="V152" s="421"/>
    </row>
    <row r="153" spans="1:22">
      <c r="A153" s="416"/>
      <c r="B153" s="394" t="s">
        <v>590</v>
      </c>
      <c r="C153" s="413">
        <v>1.6366502023264097E-2</v>
      </c>
      <c r="D153" s="414">
        <v>3.4782996465958373E-2</v>
      </c>
      <c r="E153" s="414">
        <v>1.1470164610551795E-2</v>
      </c>
      <c r="F153" s="414">
        <v>1.680136757308941E-2</v>
      </c>
      <c r="G153" s="414">
        <v>2.3241361109455744E-3</v>
      </c>
      <c r="H153" s="414">
        <v>2.4880452351523218E-2</v>
      </c>
      <c r="I153" s="414">
        <v>0</v>
      </c>
      <c r="J153" s="415">
        <v>1.7055793200214393E-2</v>
      </c>
      <c r="K153" s="415">
        <v>0.17809811010941473</v>
      </c>
      <c r="L153" s="414">
        <v>0</v>
      </c>
      <c r="M153" s="414">
        <v>0</v>
      </c>
      <c r="N153" s="414">
        <v>0</v>
      </c>
      <c r="O153" s="415">
        <v>0.17809811010941473</v>
      </c>
      <c r="P153" s="415">
        <v>0</v>
      </c>
      <c r="Q153" s="414">
        <v>0</v>
      </c>
      <c r="R153" s="415">
        <v>0</v>
      </c>
      <c r="S153" s="415">
        <v>0</v>
      </c>
      <c r="T153" s="415">
        <v>0</v>
      </c>
      <c r="U153" s="415">
        <v>1.8924073848430738E-2</v>
      </c>
      <c r="V153" s="421"/>
    </row>
    <row r="154" spans="1:22">
      <c r="A154" s="416"/>
      <c r="B154" s="417" t="s">
        <v>591</v>
      </c>
      <c r="C154" s="418">
        <v>1.8553877587014961E-2</v>
      </c>
      <c r="D154" s="419">
        <v>3.4906904216020461E-2</v>
      </c>
      <c r="E154" s="419">
        <v>1.0415935505139228E-2</v>
      </c>
      <c r="F154" s="419">
        <v>1.8932556817615204E-2</v>
      </c>
      <c r="G154" s="419">
        <v>2.0843787393368587E-3</v>
      </c>
      <c r="H154" s="419">
        <v>2.0927742458530005E-2</v>
      </c>
      <c r="I154" s="419">
        <v>0</v>
      </c>
      <c r="J154" s="420">
        <v>1.7336230351676304E-2</v>
      </c>
      <c r="K154" s="420">
        <v>0.18325516876940354</v>
      </c>
      <c r="L154" s="419">
        <v>0</v>
      </c>
      <c r="M154" s="419">
        <v>0</v>
      </c>
      <c r="N154" s="419">
        <v>0</v>
      </c>
      <c r="O154" s="420">
        <v>0.18325516876940354</v>
      </c>
      <c r="P154" s="420">
        <v>0</v>
      </c>
      <c r="Q154" s="419">
        <v>0</v>
      </c>
      <c r="R154" s="420">
        <v>0</v>
      </c>
      <c r="S154" s="420">
        <v>0</v>
      </c>
      <c r="T154" s="420">
        <v>0</v>
      </c>
      <c r="U154" s="420">
        <v>1.8942584913048632E-2</v>
      </c>
      <c r="V154" s="421"/>
    </row>
    <row r="155" spans="1:22">
      <c r="A155" s="416"/>
      <c r="B155" s="422" t="s">
        <v>592</v>
      </c>
      <c r="C155" s="423">
        <v>0.21873755637508638</v>
      </c>
      <c r="D155" s="424">
        <v>1.2390775006208832E-2</v>
      </c>
      <c r="E155" s="424">
        <v>-0.1054229105412566</v>
      </c>
      <c r="F155" s="424">
        <v>0.21311892445257941</v>
      </c>
      <c r="G155" s="424">
        <v>-2.3975737160871577E-2</v>
      </c>
      <c r="H155" s="424">
        <v>-0.39527098929932125</v>
      </c>
      <c r="I155" s="424">
        <v>0</v>
      </c>
      <c r="J155" s="426">
        <v>2.8043715146191042E-2</v>
      </c>
      <c r="K155" s="426">
        <v>0.51570586599888057</v>
      </c>
      <c r="L155" s="424">
        <v>0</v>
      </c>
      <c r="M155" s="424">
        <v>0</v>
      </c>
      <c r="N155" s="424">
        <v>0</v>
      </c>
      <c r="O155" s="426">
        <v>0.51570586599888057</v>
      </c>
      <c r="P155" s="426">
        <v>0</v>
      </c>
      <c r="Q155" s="424">
        <v>0</v>
      </c>
      <c r="R155" s="426">
        <v>0</v>
      </c>
      <c r="S155" s="426">
        <v>0</v>
      </c>
      <c r="T155" s="426">
        <v>0</v>
      </c>
      <c r="U155" s="426">
        <v>1.8511064617893203E-3</v>
      </c>
      <c r="V155" s="421"/>
    </row>
    <row r="156" spans="1:22">
      <c r="A156" s="416"/>
      <c r="B156" s="394" t="s">
        <v>593</v>
      </c>
      <c r="C156" s="413">
        <v>0.13579895873621539</v>
      </c>
      <c r="D156" s="414">
        <v>2.7184249545702852E-2</v>
      </c>
      <c r="E156" s="414">
        <v>0.24437499302168544</v>
      </c>
      <c r="F156" s="414">
        <v>0.19022781823780457</v>
      </c>
      <c r="G156" s="414">
        <v>0.1446242646620638</v>
      </c>
      <c r="H156" s="414">
        <v>0.16377720233334639</v>
      </c>
      <c r="I156" s="414">
        <v>0</v>
      </c>
      <c r="J156" s="415">
        <v>0.17607840963873275</v>
      </c>
      <c r="K156" s="415">
        <v>0.28011430917157426</v>
      </c>
      <c r="L156" s="414">
        <v>0</v>
      </c>
      <c r="M156" s="414">
        <v>0</v>
      </c>
      <c r="N156" s="414">
        <v>0</v>
      </c>
      <c r="O156" s="415">
        <v>0.28011430917157426</v>
      </c>
      <c r="P156" s="415">
        <v>0.35971390503270384</v>
      </c>
      <c r="Q156" s="414">
        <v>0</v>
      </c>
      <c r="R156" s="415">
        <v>0.35971390503270384</v>
      </c>
      <c r="S156" s="415">
        <v>0</v>
      </c>
      <c r="T156" s="415">
        <v>0</v>
      </c>
      <c r="U156" s="415">
        <v>0.21933632766613539</v>
      </c>
      <c r="V156" s="421"/>
    </row>
    <row r="157" spans="1:22">
      <c r="A157" s="416"/>
      <c r="B157" s="417" t="s">
        <v>594</v>
      </c>
      <c r="C157" s="418">
        <v>0.14263002329514884</v>
      </c>
      <c r="D157" s="419">
        <v>2.4282682520829206E-2</v>
      </c>
      <c r="E157" s="419">
        <v>0.28524956953243258</v>
      </c>
      <c r="F157" s="419">
        <v>0.2085394884740697</v>
      </c>
      <c r="G157" s="419">
        <v>0.19377967344733082</v>
      </c>
      <c r="H157" s="419">
        <v>0.17889012906822666</v>
      </c>
      <c r="I157" s="419">
        <v>0</v>
      </c>
      <c r="J157" s="420">
        <v>0.19609027975569382</v>
      </c>
      <c r="K157" s="420">
        <v>0.2920272144791598</v>
      </c>
      <c r="L157" s="419">
        <v>0</v>
      </c>
      <c r="M157" s="419">
        <v>0</v>
      </c>
      <c r="N157" s="419">
        <v>0</v>
      </c>
      <c r="O157" s="420">
        <v>0.2920272144791598</v>
      </c>
      <c r="P157" s="420">
        <v>0.38131657777123373</v>
      </c>
      <c r="Q157" s="419">
        <v>0</v>
      </c>
      <c r="R157" s="420">
        <v>0.38131657777123373</v>
      </c>
      <c r="S157" s="420">
        <v>0</v>
      </c>
      <c r="T157" s="420">
        <v>0</v>
      </c>
      <c r="U157" s="420">
        <v>0.2399615408170257</v>
      </c>
      <c r="V157" s="421"/>
    </row>
    <row r="158" spans="1:22">
      <c r="A158" s="416"/>
      <c r="B158" s="422" t="s">
        <v>595</v>
      </c>
      <c r="C158" s="423">
        <v>0.68310645589334529</v>
      </c>
      <c r="D158" s="424">
        <v>-0.29015670248736458</v>
      </c>
      <c r="E158" s="424">
        <v>4.0874576510747138</v>
      </c>
      <c r="F158" s="424">
        <v>1.8311670236265121</v>
      </c>
      <c r="G158" s="424">
        <v>4.915540878526703</v>
      </c>
      <c r="H158" s="424">
        <v>1.5112926734880268</v>
      </c>
      <c r="I158" s="424">
        <v>0</v>
      </c>
      <c r="J158" s="426">
        <v>2.0011870116961066</v>
      </c>
      <c r="K158" s="426">
        <v>1.1912905307585542</v>
      </c>
      <c r="L158" s="424">
        <v>0</v>
      </c>
      <c r="M158" s="424">
        <v>0</v>
      </c>
      <c r="N158" s="424">
        <v>0</v>
      </c>
      <c r="O158" s="426">
        <v>1.1912905307585542</v>
      </c>
      <c r="P158" s="426">
        <v>2.1602672738529893</v>
      </c>
      <c r="Q158" s="424">
        <v>0</v>
      </c>
      <c r="R158" s="426">
        <v>2.1602672738529893</v>
      </c>
      <c r="S158" s="426">
        <v>0</v>
      </c>
      <c r="T158" s="426">
        <v>0</v>
      </c>
      <c r="U158" s="426">
        <v>2.0625213150890302</v>
      </c>
      <c r="V158" s="421"/>
    </row>
    <row r="159" spans="1:22">
      <c r="A159" s="416"/>
      <c r="B159" s="394" t="s">
        <v>596</v>
      </c>
      <c r="C159" s="413">
        <v>0</v>
      </c>
      <c r="D159" s="414">
        <v>0</v>
      </c>
      <c r="E159" s="414">
        <v>1.354399833394257E-4</v>
      </c>
      <c r="F159" s="414">
        <v>8.563388161615398E-5</v>
      </c>
      <c r="G159" s="414">
        <v>0</v>
      </c>
      <c r="H159" s="414">
        <v>1.4843483464672621E-3</v>
      </c>
      <c r="I159" s="414">
        <v>0</v>
      </c>
      <c r="J159" s="415">
        <v>2.5073930688014276E-4</v>
      </c>
      <c r="K159" s="415">
        <v>0</v>
      </c>
      <c r="L159" s="414">
        <v>0</v>
      </c>
      <c r="M159" s="414">
        <v>0</v>
      </c>
      <c r="N159" s="414">
        <v>0</v>
      </c>
      <c r="O159" s="415">
        <v>0</v>
      </c>
      <c r="P159" s="415">
        <v>5.7184317969403318E-3</v>
      </c>
      <c r="Q159" s="414">
        <v>0</v>
      </c>
      <c r="R159" s="415">
        <v>5.7184317969403318E-3</v>
      </c>
      <c r="S159" s="415">
        <v>0</v>
      </c>
      <c r="T159" s="415">
        <v>0</v>
      </c>
      <c r="U159" s="415">
        <v>1.423276929851425E-3</v>
      </c>
      <c r="V159" s="421"/>
    </row>
    <row r="160" spans="1:22">
      <c r="A160" s="416"/>
      <c r="B160" s="417" t="s">
        <v>597</v>
      </c>
      <c r="C160" s="418">
        <v>0</v>
      </c>
      <c r="D160" s="419">
        <v>0</v>
      </c>
      <c r="E160" s="419">
        <v>1.9508398050709249E-4</v>
      </c>
      <c r="F160" s="419">
        <v>4.6300319543436112E-5</v>
      </c>
      <c r="G160" s="419">
        <v>0</v>
      </c>
      <c r="H160" s="419">
        <v>1.1604445115630006E-3</v>
      </c>
      <c r="I160" s="419">
        <v>0</v>
      </c>
      <c r="J160" s="420">
        <v>2.1505210193562579E-4</v>
      </c>
      <c r="K160" s="420">
        <v>0</v>
      </c>
      <c r="L160" s="419">
        <v>0</v>
      </c>
      <c r="M160" s="419">
        <v>0</v>
      </c>
      <c r="N160" s="419">
        <v>0</v>
      </c>
      <c r="O160" s="420">
        <v>0</v>
      </c>
      <c r="P160" s="420">
        <v>5.7429788172416304E-3</v>
      </c>
      <c r="Q160" s="419">
        <v>0</v>
      </c>
      <c r="R160" s="420">
        <v>5.7429788172416304E-3</v>
      </c>
      <c r="S160" s="420">
        <v>0</v>
      </c>
      <c r="T160" s="420">
        <v>0</v>
      </c>
      <c r="U160" s="420">
        <v>1.4238140914193478E-3</v>
      </c>
      <c r="V160" s="421"/>
    </row>
    <row r="161" spans="1:22">
      <c r="A161" s="416"/>
      <c r="B161" s="422" t="s">
        <v>598</v>
      </c>
      <c r="C161" s="423">
        <v>0</v>
      </c>
      <c r="D161" s="424">
        <v>0</v>
      </c>
      <c r="E161" s="424">
        <v>5.9643997167666786E-3</v>
      </c>
      <c r="F161" s="424">
        <v>-3.9333562072717872E-3</v>
      </c>
      <c r="G161" s="424">
        <v>0</v>
      </c>
      <c r="H161" s="424">
        <v>-3.2390383490426153E-2</v>
      </c>
      <c r="I161" s="424">
        <v>0</v>
      </c>
      <c r="J161" s="426">
        <v>-3.5687204944516962E-3</v>
      </c>
      <c r="K161" s="426">
        <v>0</v>
      </c>
      <c r="L161" s="424">
        <v>0</v>
      </c>
      <c r="M161" s="424">
        <v>0</v>
      </c>
      <c r="N161" s="424">
        <v>0</v>
      </c>
      <c r="O161" s="426">
        <v>0</v>
      </c>
      <c r="P161" s="426">
        <v>2.45470203012986E-3</v>
      </c>
      <c r="Q161" s="424">
        <v>0</v>
      </c>
      <c r="R161" s="426">
        <v>2.45470203012986E-3</v>
      </c>
      <c r="S161" s="426">
        <v>0</v>
      </c>
      <c r="T161" s="426">
        <v>0</v>
      </c>
      <c r="U161" s="426">
        <v>5.3716156792277606E-5</v>
      </c>
      <c r="V161" s="421"/>
    </row>
    <row r="162" spans="1:22">
      <c r="A162" s="416"/>
      <c r="B162" s="394" t="s">
        <v>599</v>
      </c>
      <c r="C162" s="413">
        <v>0</v>
      </c>
      <c r="D162" s="414">
        <v>0</v>
      </c>
      <c r="E162" s="414">
        <v>5.7282860337104778E-5</v>
      </c>
      <c r="F162" s="414">
        <v>9.2199145873392448E-4</v>
      </c>
      <c r="G162" s="414">
        <v>0</v>
      </c>
      <c r="H162" s="414">
        <v>0</v>
      </c>
      <c r="I162" s="414">
        <v>0</v>
      </c>
      <c r="J162" s="415">
        <v>2.0483338511066124E-4</v>
      </c>
      <c r="K162" s="415">
        <v>0</v>
      </c>
      <c r="L162" s="414">
        <v>0</v>
      </c>
      <c r="M162" s="414">
        <v>0</v>
      </c>
      <c r="N162" s="414">
        <v>0</v>
      </c>
      <c r="O162" s="415">
        <v>0</v>
      </c>
      <c r="P162" s="415">
        <v>0</v>
      </c>
      <c r="Q162" s="414">
        <v>0</v>
      </c>
      <c r="R162" s="415">
        <v>0</v>
      </c>
      <c r="S162" s="415">
        <v>0</v>
      </c>
      <c r="T162" s="415">
        <v>0</v>
      </c>
      <c r="U162" s="415">
        <v>1.5352053787412098E-4</v>
      </c>
      <c r="V162" s="421"/>
    </row>
    <row r="163" spans="1:22">
      <c r="A163" s="416"/>
      <c r="B163" s="417" t="s">
        <v>600</v>
      </c>
      <c r="C163" s="418">
        <v>0</v>
      </c>
      <c r="D163" s="419">
        <v>0</v>
      </c>
      <c r="E163" s="419">
        <v>4.5019380117021345E-5</v>
      </c>
      <c r="F163" s="419">
        <v>1.0007992147465805E-3</v>
      </c>
      <c r="G163" s="419">
        <v>0</v>
      </c>
      <c r="H163" s="419">
        <v>0</v>
      </c>
      <c r="I163" s="419">
        <v>0</v>
      </c>
      <c r="J163" s="420">
        <v>2.1620674409366942E-4</v>
      </c>
      <c r="K163" s="420">
        <v>0</v>
      </c>
      <c r="L163" s="419">
        <v>0</v>
      </c>
      <c r="M163" s="419">
        <v>0</v>
      </c>
      <c r="N163" s="419">
        <v>0</v>
      </c>
      <c r="O163" s="420">
        <v>0</v>
      </c>
      <c r="P163" s="420">
        <v>0</v>
      </c>
      <c r="Q163" s="419">
        <v>0</v>
      </c>
      <c r="R163" s="420">
        <v>0</v>
      </c>
      <c r="S163" s="420">
        <v>0</v>
      </c>
      <c r="T163" s="420">
        <v>0</v>
      </c>
      <c r="U163" s="420">
        <v>1.6159356837231479E-4</v>
      </c>
      <c r="V163" s="421"/>
    </row>
    <row r="164" spans="1:22">
      <c r="A164" s="416"/>
      <c r="B164" s="422" t="s">
        <v>601</v>
      </c>
      <c r="C164" s="423">
        <v>0</v>
      </c>
      <c r="D164" s="424">
        <v>0</v>
      </c>
      <c r="E164" s="424">
        <v>-1.2263480220083432E-3</v>
      </c>
      <c r="F164" s="424">
        <v>7.8807756012655977E-3</v>
      </c>
      <c r="G164" s="424">
        <v>0</v>
      </c>
      <c r="H164" s="424">
        <v>0</v>
      </c>
      <c r="I164" s="424">
        <v>0</v>
      </c>
      <c r="J164" s="426">
        <v>1.1373358983008184E-3</v>
      </c>
      <c r="K164" s="426">
        <v>0</v>
      </c>
      <c r="L164" s="424">
        <v>0</v>
      </c>
      <c r="M164" s="424">
        <v>0</v>
      </c>
      <c r="N164" s="424">
        <v>0</v>
      </c>
      <c r="O164" s="426">
        <v>0</v>
      </c>
      <c r="P164" s="426">
        <v>0</v>
      </c>
      <c r="Q164" s="424">
        <v>0</v>
      </c>
      <c r="R164" s="426">
        <v>0</v>
      </c>
      <c r="S164" s="426">
        <v>0</v>
      </c>
      <c r="T164" s="426">
        <v>0</v>
      </c>
      <c r="U164" s="426">
        <v>8.0730304981938028E-4</v>
      </c>
      <c r="V164" s="421"/>
    </row>
    <row r="165" spans="1:22">
      <c r="A165" s="416"/>
      <c r="B165" s="394" t="s">
        <v>602</v>
      </c>
      <c r="C165" s="413">
        <v>0</v>
      </c>
      <c r="D165" s="414">
        <v>0</v>
      </c>
      <c r="E165" s="414">
        <v>0</v>
      </c>
      <c r="F165" s="414">
        <v>0</v>
      </c>
      <c r="G165" s="414">
        <v>0</v>
      </c>
      <c r="H165" s="414">
        <v>0</v>
      </c>
      <c r="I165" s="414">
        <v>0</v>
      </c>
      <c r="J165" s="415">
        <v>0</v>
      </c>
      <c r="K165" s="415">
        <v>0</v>
      </c>
      <c r="L165" s="414">
        <v>0</v>
      </c>
      <c r="M165" s="414">
        <v>0</v>
      </c>
      <c r="N165" s="414">
        <v>0</v>
      </c>
      <c r="O165" s="415">
        <v>0</v>
      </c>
      <c r="P165" s="415">
        <v>0</v>
      </c>
      <c r="Q165" s="414">
        <v>0</v>
      </c>
      <c r="R165" s="415">
        <v>0</v>
      </c>
      <c r="S165" s="415">
        <v>0</v>
      </c>
      <c r="T165" s="415">
        <v>0</v>
      </c>
      <c r="U165" s="415">
        <v>0</v>
      </c>
      <c r="V165" s="421"/>
    </row>
    <row r="166" spans="1:22">
      <c r="A166" s="416"/>
      <c r="B166" s="417" t="s">
        <v>603</v>
      </c>
      <c r="C166" s="418">
        <v>0</v>
      </c>
      <c r="D166" s="419">
        <v>0</v>
      </c>
      <c r="E166" s="419">
        <v>0</v>
      </c>
      <c r="F166" s="419">
        <v>0</v>
      </c>
      <c r="G166" s="419">
        <v>0</v>
      </c>
      <c r="H166" s="419">
        <v>0</v>
      </c>
      <c r="I166" s="419">
        <v>0</v>
      </c>
      <c r="J166" s="420">
        <v>0</v>
      </c>
      <c r="K166" s="420">
        <v>0</v>
      </c>
      <c r="L166" s="419">
        <v>0</v>
      </c>
      <c r="M166" s="419">
        <v>0</v>
      </c>
      <c r="N166" s="419">
        <v>0</v>
      </c>
      <c r="O166" s="420">
        <v>0</v>
      </c>
      <c r="P166" s="420">
        <v>0</v>
      </c>
      <c r="Q166" s="419">
        <v>0</v>
      </c>
      <c r="R166" s="420">
        <v>0</v>
      </c>
      <c r="S166" s="420">
        <v>0</v>
      </c>
      <c r="T166" s="420">
        <v>0</v>
      </c>
      <c r="U166" s="420">
        <v>0</v>
      </c>
      <c r="V166" s="421"/>
    </row>
    <row r="167" spans="1:22" ht="15" thickBot="1">
      <c r="A167" s="416"/>
      <c r="B167" s="428" t="s">
        <v>604</v>
      </c>
      <c r="C167" s="429">
        <v>0</v>
      </c>
      <c r="D167" s="430">
        <v>0</v>
      </c>
      <c r="E167" s="430">
        <v>0</v>
      </c>
      <c r="F167" s="430">
        <v>0</v>
      </c>
      <c r="G167" s="430">
        <v>0</v>
      </c>
      <c r="H167" s="430">
        <v>0</v>
      </c>
      <c r="I167" s="430">
        <v>0</v>
      </c>
      <c r="J167" s="431">
        <v>0</v>
      </c>
      <c r="K167" s="431">
        <v>0</v>
      </c>
      <c r="L167" s="430">
        <v>0</v>
      </c>
      <c r="M167" s="430">
        <v>0</v>
      </c>
      <c r="N167" s="430">
        <v>0</v>
      </c>
      <c r="O167" s="431">
        <v>0</v>
      </c>
      <c r="P167" s="431">
        <v>0</v>
      </c>
      <c r="Q167" s="430">
        <v>0</v>
      </c>
      <c r="R167" s="431">
        <v>0</v>
      </c>
      <c r="S167" s="431">
        <v>0</v>
      </c>
      <c r="T167" s="431">
        <v>0</v>
      </c>
      <c r="U167" s="431">
        <v>0</v>
      </c>
      <c r="V167" s="421"/>
    </row>
    <row r="168" spans="1:22" ht="15" thickTop="1">
      <c r="A168" s="416"/>
      <c r="B168" s="417" t="s">
        <v>605</v>
      </c>
      <c r="C168" s="418">
        <v>0.68759813351239485</v>
      </c>
      <c r="D168" s="419">
        <v>0.73062922985630696</v>
      </c>
      <c r="E168" s="419">
        <v>0.32615383105764373</v>
      </c>
      <c r="F168" s="419">
        <v>0.73141198631851745</v>
      </c>
      <c r="G168" s="419">
        <v>0.42233529726834496</v>
      </c>
      <c r="H168" s="419">
        <v>9.4806265457543282E-2</v>
      </c>
      <c r="I168" s="419">
        <v>0</v>
      </c>
      <c r="J168" s="420">
        <v>0.65018995243509614</v>
      </c>
      <c r="K168" s="420">
        <v>0</v>
      </c>
      <c r="L168" s="419">
        <v>0</v>
      </c>
      <c r="M168" s="419">
        <v>0</v>
      </c>
      <c r="N168" s="419">
        <v>0</v>
      </c>
      <c r="O168" s="420">
        <v>0</v>
      </c>
      <c r="P168" s="420">
        <v>0</v>
      </c>
      <c r="Q168" s="419">
        <v>0</v>
      </c>
      <c r="R168" s="420">
        <v>0</v>
      </c>
      <c r="S168" s="420">
        <v>0</v>
      </c>
      <c r="T168" s="420">
        <v>0</v>
      </c>
      <c r="U168" s="420">
        <v>0.65018995243509614</v>
      </c>
      <c r="V168" s="421"/>
    </row>
    <row r="169" spans="1:22">
      <c r="A169" s="416"/>
      <c r="B169" s="417" t="s">
        <v>606</v>
      </c>
      <c r="C169" s="418">
        <v>0.68063939217201774</v>
      </c>
      <c r="D169" s="419">
        <v>0.65986664201508094</v>
      </c>
      <c r="E169" s="419">
        <v>0.29455654165123524</v>
      </c>
      <c r="F169" s="419">
        <v>0.70991758850671982</v>
      </c>
      <c r="G169" s="419">
        <v>0.42624286878565609</v>
      </c>
      <c r="H169" s="419">
        <v>2.9784537389100127E-2</v>
      </c>
      <c r="I169" s="419">
        <v>0</v>
      </c>
      <c r="J169" s="420">
        <v>0.61984985330577458</v>
      </c>
      <c r="K169" s="420">
        <v>0</v>
      </c>
      <c r="L169" s="419">
        <v>0</v>
      </c>
      <c r="M169" s="419">
        <v>0</v>
      </c>
      <c r="N169" s="419">
        <v>0</v>
      </c>
      <c r="O169" s="420">
        <v>0</v>
      </c>
      <c r="P169" s="420">
        <v>0</v>
      </c>
      <c r="Q169" s="419">
        <v>0</v>
      </c>
      <c r="R169" s="420">
        <v>0</v>
      </c>
      <c r="S169" s="420">
        <v>0</v>
      </c>
      <c r="T169" s="420">
        <v>0</v>
      </c>
      <c r="U169" s="420">
        <v>0.61984985330577458</v>
      </c>
      <c r="V169" s="421"/>
    </row>
    <row r="170" spans="1:22">
      <c r="A170" s="416"/>
      <c r="B170" s="422" t="s">
        <v>607</v>
      </c>
      <c r="C170" s="423">
        <v>-0.69587413403771059</v>
      </c>
      <c r="D170" s="424">
        <v>-7.0762587841226026</v>
      </c>
      <c r="E170" s="424">
        <v>-3.1597289406408491</v>
      </c>
      <c r="F170" s="424">
        <v>-2.1494397811797628</v>
      </c>
      <c r="G170" s="424">
        <v>0.39075715173111369</v>
      </c>
      <c r="H170" s="424">
        <v>-6.5021728068443156</v>
      </c>
      <c r="I170" s="424">
        <v>0</v>
      </c>
      <c r="J170" s="426">
        <v>-3.0340099129321563</v>
      </c>
      <c r="K170" s="426">
        <v>0</v>
      </c>
      <c r="L170" s="424">
        <v>0</v>
      </c>
      <c r="M170" s="424">
        <v>0</v>
      </c>
      <c r="N170" s="424">
        <v>0</v>
      </c>
      <c r="O170" s="426">
        <v>0</v>
      </c>
      <c r="P170" s="426">
        <v>0</v>
      </c>
      <c r="Q170" s="424">
        <v>0</v>
      </c>
      <c r="R170" s="426">
        <v>0</v>
      </c>
      <c r="S170" s="426">
        <v>0</v>
      </c>
      <c r="T170" s="426">
        <v>0</v>
      </c>
      <c r="U170" s="426">
        <v>-3.0340099129321563</v>
      </c>
      <c r="V170" s="421"/>
    </row>
    <row r="171" spans="1:22">
      <c r="A171" s="416"/>
      <c r="B171" s="394" t="s">
        <v>608</v>
      </c>
      <c r="C171" s="413">
        <v>0.25194850949543734</v>
      </c>
      <c r="D171" s="414">
        <v>7.703690350106286E-3</v>
      </c>
      <c r="E171" s="414">
        <v>1.0381658415963026E-2</v>
      </c>
      <c r="F171" s="414">
        <v>5.7802709707049829E-2</v>
      </c>
      <c r="G171" s="414">
        <v>0.35350830208891271</v>
      </c>
      <c r="H171" s="414">
        <v>2.3083264633140973E-2</v>
      </c>
      <c r="I171" s="414">
        <v>0</v>
      </c>
      <c r="J171" s="415">
        <v>0.11134863562681975</v>
      </c>
      <c r="K171" s="415">
        <v>0</v>
      </c>
      <c r="L171" s="414">
        <v>0</v>
      </c>
      <c r="M171" s="414">
        <v>0</v>
      </c>
      <c r="N171" s="414">
        <v>0</v>
      </c>
      <c r="O171" s="415">
        <v>0</v>
      </c>
      <c r="P171" s="415">
        <v>0</v>
      </c>
      <c r="Q171" s="414">
        <v>0</v>
      </c>
      <c r="R171" s="415">
        <v>0</v>
      </c>
      <c r="S171" s="415">
        <v>0</v>
      </c>
      <c r="T171" s="415">
        <v>0</v>
      </c>
      <c r="U171" s="415">
        <v>0.11134863562681975</v>
      </c>
      <c r="V171" s="421"/>
    </row>
    <row r="172" spans="1:22">
      <c r="A172" s="416"/>
      <c r="B172" s="417" t="s">
        <v>609</v>
      </c>
      <c r="C172" s="418">
        <v>0.25005709846541452</v>
      </c>
      <c r="D172" s="419">
        <v>8.1563052416099256E-3</v>
      </c>
      <c r="E172" s="419">
        <v>8.8941553164225157E-3</v>
      </c>
      <c r="F172" s="419">
        <v>5.020921907218226E-2</v>
      </c>
      <c r="G172" s="419">
        <v>0.38141809290953543</v>
      </c>
      <c r="H172" s="419">
        <v>2.5348542458808618E-2</v>
      </c>
      <c r="I172" s="419">
        <v>0</v>
      </c>
      <c r="J172" s="420">
        <v>0.10565560924793296</v>
      </c>
      <c r="K172" s="420">
        <v>0</v>
      </c>
      <c r="L172" s="419">
        <v>0</v>
      </c>
      <c r="M172" s="419">
        <v>0</v>
      </c>
      <c r="N172" s="419">
        <v>0</v>
      </c>
      <c r="O172" s="420">
        <v>0</v>
      </c>
      <c r="P172" s="420">
        <v>0</v>
      </c>
      <c r="Q172" s="419">
        <v>0</v>
      </c>
      <c r="R172" s="420">
        <v>0</v>
      </c>
      <c r="S172" s="420">
        <v>0</v>
      </c>
      <c r="T172" s="420">
        <v>0</v>
      </c>
      <c r="U172" s="420">
        <v>0.10565560924793296</v>
      </c>
      <c r="V172" s="421"/>
    </row>
    <row r="173" spans="1:22">
      <c r="A173" s="416"/>
      <c r="B173" s="422" t="s">
        <v>610</v>
      </c>
      <c r="C173" s="423">
        <v>-0.18914110300228271</v>
      </c>
      <c r="D173" s="424">
        <v>4.5261489150363959E-2</v>
      </c>
      <c r="E173" s="424">
        <v>-0.14875030995405106</v>
      </c>
      <c r="F173" s="424">
        <v>-0.75934906348675701</v>
      </c>
      <c r="G173" s="424">
        <v>2.7909790820622726</v>
      </c>
      <c r="H173" s="424">
        <v>0.22652778256676448</v>
      </c>
      <c r="I173" s="424">
        <v>0</v>
      </c>
      <c r="J173" s="426">
        <v>-0.56930263788867874</v>
      </c>
      <c r="K173" s="426">
        <v>0</v>
      </c>
      <c r="L173" s="424">
        <v>0</v>
      </c>
      <c r="M173" s="424">
        <v>0</v>
      </c>
      <c r="N173" s="424">
        <v>0</v>
      </c>
      <c r="O173" s="426">
        <v>0</v>
      </c>
      <c r="P173" s="426">
        <v>0</v>
      </c>
      <c r="Q173" s="424">
        <v>0</v>
      </c>
      <c r="R173" s="426">
        <v>0</v>
      </c>
      <c r="S173" s="426">
        <v>0</v>
      </c>
      <c r="T173" s="426">
        <v>0</v>
      </c>
      <c r="U173" s="426">
        <v>-0.56930263788867874</v>
      </c>
      <c r="V173" s="421"/>
    </row>
    <row r="174" spans="1:22">
      <c r="A174" s="416"/>
      <c r="B174" s="394" t="s">
        <v>611</v>
      </c>
      <c r="C174" s="413">
        <v>6.0453356992167792E-2</v>
      </c>
      <c r="D174" s="414">
        <v>0.26166707979358678</v>
      </c>
      <c r="E174" s="414">
        <v>0.66339091653951265</v>
      </c>
      <c r="F174" s="414">
        <v>0.21057811342646549</v>
      </c>
      <c r="G174" s="414">
        <v>0.22415640064274236</v>
      </c>
      <c r="H174" s="414">
        <v>0.88211046990931574</v>
      </c>
      <c r="I174" s="414">
        <v>0</v>
      </c>
      <c r="J174" s="415">
        <v>0.23840508300293911</v>
      </c>
      <c r="K174" s="415">
        <v>0</v>
      </c>
      <c r="L174" s="414">
        <v>0</v>
      </c>
      <c r="M174" s="414">
        <v>0</v>
      </c>
      <c r="N174" s="414">
        <v>0</v>
      </c>
      <c r="O174" s="415">
        <v>0</v>
      </c>
      <c r="P174" s="415">
        <v>0</v>
      </c>
      <c r="Q174" s="414">
        <v>0</v>
      </c>
      <c r="R174" s="415">
        <v>0</v>
      </c>
      <c r="S174" s="415">
        <v>0</v>
      </c>
      <c r="T174" s="415">
        <v>0</v>
      </c>
      <c r="U174" s="415">
        <v>0.23840508300293911</v>
      </c>
      <c r="V174" s="421"/>
    </row>
    <row r="175" spans="1:22">
      <c r="A175" s="416"/>
      <c r="B175" s="417" t="s">
        <v>612</v>
      </c>
      <c r="C175" s="418">
        <v>6.9303509362567753E-2</v>
      </c>
      <c r="D175" s="419">
        <v>0.33197705274330913</v>
      </c>
      <c r="E175" s="419">
        <v>0.69639400825697617</v>
      </c>
      <c r="F175" s="419">
        <v>0.23967841383062322</v>
      </c>
      <c r="G175" s="419">
        <v>0.19233903830480847</v>
      </c>
      <c r="H175" s="419">
        <v>0.94486692015209128</v>
      </c>
      <c r="I175" s="419">
        <v>0</v>
      </c>
      <c r="J175" s="420">
        <v>0.27442957163686998</v>
      </c>
      <c r="K175" s="420">
        <v>0</v>
      </c>
      <c r="L175" s="419">
        <v>0</v>
      </c>
      <c r="M175" s="419">
        <v>0</v>
      </c>
      <c r="N175" s="419">
        <v>0</v>
      </c>
      <c r="O175" s="420">
        <v>0</v>
      </c>
      <c r="P175" s="420">
        <v>0</v>
      </c>
      <c r="Q175" s="419">
        <v>0</v>
      </c>
      <c r="R175" s="420">
        <v>0</v>
      </c>
      <c r="S175" s="420">
        <v>0</v>
      </c>
      <c r="T175" s="420">
        <v>0</v>
      </c>
      <c r="U175" s="420">
        <v>0.27442957163686998</v>
      </c>
      <c r="V175" s="421"/>
    </row>
    <row r="176" spans="1:22">
      <c r="A176" s="416"/>
      <c r="B176" s="422" t="s">
        <v>613</v>
      </c>
      <c r="C176" s="423">
        <v>0.88501523703999607</v>
      </c>
      <c r="D176" s="424">
        <v>7.0309972949722352</v>
      </c>
      <c r="E176" s="424">
        <v>3.3003091717463517</v>
      </c>
      <c r="F176" s="424">
        <v>2.9100300404157728</v>
      </c>
      <c r="G176" s="424">
        <v>-3.181736233793389</v>
      </c>
      <c r="H176" s="424">
        <v>6.2756450242775541</v>
      </c>
      <c r="I176" s="424">
        <v>0</v>
      </c>
      <c r="J176" s="426">
        <v>3.6024488633930876</v>
      </c>
      <c r="K176" s="426">
        <v>0</v>
      </c>
      <c r="L176" s="424">
        <v>0</v>
      </c>
      <c r="M176" s="424">
        <v>0</v>
      </c>
      <c r="N176" s="424">
        <v>0</v>
      </c>
      <c r="O176" s="426">
        <v>0</v>
      </c>
      <c r="P176" s="426">
        <v>0</v>
      </c>
      <c r="Q176" s="424">
        <v>0</v>
      </c>
      <c r="R176" s="426">
        <v>0</v>
      </c>
      <c r="S176" s="426">
        <v>0</v>
      </c>
      <c r="T176" s="426">
        <v>0</v>
      </c>
      <c r="U176" s="426">
        <v>3.6024488633930876</v>
      </c>
      <c r="V176" s="421"/>
    </row>
    <row r="177" spans="1:22">
      <c r="A177" s="416"/>
      <c r="B177" s="394" t="s">
        <v>614</v>
      </c>
      <c r="C177" s="413">
        <v>0</v>
      </c>
      <c r="D177" s="414">
        <v>0</v>
      </c>
      <c r="E177" s="414">
        <v>7.3593986880645277E-5</v>
      </c>
      <c r="F177" s="414">
        <v>0</v>
      </c>
      <c r="G177" s="414">
        <v>0</v>
      </c>
      <c r="H177" s="414">
        <v>0</v>
      </c>
      <c r="I177" s="414">
        <v>0</v>
      </c>
      <c r="J177" s="415">
        <v>1.1265787029008426E-5</v>
      </c>
      <c r="K177" s="415">
        <v>0</v>
      </c>
      <c r="L177" s="414">
        <v>0</v>
      </c>
      <c r="M177" s="414">
        <v>0</v>
      </c>
      <c r="N177" s="414">
        <v>0</v>
      </c>
      <c r="O177" s="415">
        <v>0</v>
      </c>
      <c r="P177" s="415">
        <v>0</v>
      </c>
      <c r="Q177" s="414">
        <v>0</v>
      </c>
      <c r="R177" s="415">
        <v>0</v>
      </c>
      <c r="S177" s="415">
        <v>0</v>
      </c>
      <c r="T177" s="415">
        <v>0</v>
      </c>
      <c r="U177" s="415">
        <v>1.1265787029008426E-5</v>
      </c>
      <c r="V177" s="421"/>
    </row>
    <row r="178" spans="1:22">
      <c r="A178" s="416"/>
      <c r="B178" s="417" t="s">
        <v>615</v>
      </c>
      <c r="C178" s="418">
        <v>0</v>
      </c>
      <c r="D178" s="419">
        <v>0</v>
      </c>
      <c r="E178" s="419">
        <v>1.2705936166317879E-4</v>
      </c>
      <c r="F178" s="419">
        <v>0</v>
      </c>
      <c r="G178" s="419">
        <v>0</v>
      </c>
      <c r="H178" s="419">
        <v>0</v>
      </c>
      <c r="I178" s="419">
        <v>0</v>
      </c>
      <c r="J178" s="420">
        <v>1.9275569828678737E-5</v>
      </c>
      <c r="K178" s="420">
        <v>0</v>
      </c>
      <c r="L178" s="419">
        <v>0</v>
      </c>
      <c r="M178" s="419">
        <v>0</v>
      </c>
      <c r="N178" s="419">
        <v>0</v>
      </c>
      <c r="O178" s="420">
        <v>0</v>
      </c>
      <c r="P178" s="420">
        <v>0</v>
      </c>
      <c r="Q178" s="419">
        <v>0</v>
      </c>
      <c r="R178" s="420">
        <v>0</v>
      </c>
      <c r="S178" s="420">
        <v>0</v>
      </c>
      <c r="T178" s="420">
        <v>0</v>
      </c>
      <c r="U178" s="420">
        <v>1.9275569828678737E-5</v>
      </c>
      <c r="V178" s="421"/>
    </row>
    <row r="179" spans="1:22">
      <c r="A179" s="416"/>
      <c r="B179" s="422" t="s">
        <v>616</v>
      </c>
      <c r="C179" s="423">
        <v>0</v>
      </c>
      <c r="D179" s="424">
        <v>0</v>
      </c>
      <c r="E179" s="424">
        <v>5.346537478253352E-3</v>
      </c>
      <c r="F179" s="424">
        <v>0</v>
      </c>
      <c r="G179" s="424">
        <v>0</v>
      </c>
      <c r="H179" s="424">
        <v>0</v>
      </c>
      <c r="I179" s="424">
        <v>0</v>
      </c>
      <c r="J179" s="426">
        <v>8.0097827996703105E-4</v>
      </c>
      <c r="K179" s="426">
        <v>0</v>
      </c>
      <c r="L179" s="424">
        <v>0</v>
      </c>
      <c r="M179" s="424">
        <v>0</v>
      </c>
      <c r="N179" s="424">
        <v>0</v>
      </c>
      <c r="O179" s="426">
        <v>0</v>
      </c>
      <c r="P179" s="426">
        <v>0</v>
      </c>
      <c r="Q179" s="424">
        <v>0</v>
      </c>
      <c r="R179" s="426">
        <v>0</v>
      </c>
      <c r="S179" s="426">
        <v>0</v>
      </c>
      <c r="T179" s="426">
        <v>0</v>
      </c>
      <c r="U179" s="426">
        <v>8.0097827996703105E-4</v>
      </c>
      <c r="V179" s="421"/>
    </row>
    <row r="180" spans="1:22">
      <c r="A180" s="416"/>
      <c r="B180" s="394" t="s">
        <v>617</v>
      </c>
      <c r="C180" s="413">
        <v>0</v>
      </c>
      <c r="D180" s="414">
        <v>0</v>
      </c>
      <c r="E180" s="414">
        <v>0</v>
      </c>
      <c r="F180" s="414">
        <v>2.0719054796720172E-4</v>
      </c>
      <c r="G180" s="414">
        <v>0</v>
      </c>
      <c r="H180" s="414">
        <v>0</v>
      </c>
      <c r="I180" s="414">
        <v>0</v>
      </c>
      <c r="J180" s="415">
        <v>4.5063148116033705E-5</v>
      </c>
      <c r="K180" s="415">
        <v>0</v>
      </c>
      <c r="L180" s="414">
        <v>0</v>
      </c>
      <c r="M180" s="414">
        <v>0</v>
      </c>
      <c r="N180" s="414">
        <v>0</v>
      </c>
      <c r="O180" s="415">
        <v>0</v>
      </c>
      <c r="P180" s="415">
        <v>0</v>
      </c>
      <c r="Q180" s="414">
        <v>0</v>
      </c>
      <c r="R180" s="415">
        <v>0</v>
      </c>
      <c r="S180" s="415">
        <v>0</v>
      </c>
      <c r="T180" s="415">
        <v>0</v>
      </c>
      <c r="U180" s="415">
        <v>4.5063148116033705E-5</v>
      </c>
      <c r="V180" s="421"/>
    </row>
    <row r="181" spans="1:22">
      <c r="A181" s="416"/>
      <c r="B181" s="417" t="s">
        <v>618</v>
      </c>
      <c r="C181" s="418">
        <v>0</v>
      </c>
      <c r="D181" s="419">
        <v>0</v>
      </c>
      <c r="E181" s="419">
        <v>2.8235413702928624E-5</v>
      </c>
      <c r="F181" s="419">
        <v>1.9477859047465528E-4</v>
      </c>
      <c r="G181" s="419">
        <v>0</v>
      </c>
      <c r="H181" s="419">
        <v>0</v>
      </c>
      <c r="I181" s="419">
        <v>0</v>
      </c>
      <c r="J181" s="420">
        <v>4.5690239593905159E-5</v>
      </c>
      <c r="K181" s="420">
        <v>0</v>
      </c>
      <c r="L181" s="419">
        <v>0</v>
      </c>
      <c r="M181" s="419">
        <v>0</v>
      </c>
      <c r="N181" s="419">
        <v>0</v>
      </c>
      <c r="O181" s="420">
        <v>0</v>
      </c>
      <c r="P181" s="420">
        <v>0</v>
      </c>
      <c r="Q181" s="419">
        <v>0</v>
      </c>
      <c r="R181" s="420">
        <v>0</v>
      </c>
      <c r="S181" s="420">
        <v>0</v>
      </c>
      <c r="T181" s="420">
        <v>0</v>
      </c>
      <c r="U181" s="420">
        <v>4.5690239593905159E-5</v>
      </c>
      <c r="V181" s="421"/>
    </row>
    <row r="182" spans="1:22">
      <c r="A182" s="416"/>
      <c r="B182" s="422" t="s">
        <v>619</v>
      </c>
      <c r="C182" s="423">
        <v>0</v>
      </c>
      <c r="D182" s="424">
        <v>0</v>
      </c>
      <c r="E182" s="424">
        <v>0</v>
      </c>
      <c r="F182" s="424">
        <v>-1.2411957492546445E-3</v>
      </c>
      <c r="G182" s="424">
        <v>0</v>
      </c>
      <c r="H182" s="424">
        <v>0</v>
      </c>
      <c r="I182" s="424">
        <v>0</v>
      </c>
      <c r="J182" s="426">
        <v>6.2709147787145354E-5</v>
      </c>
      <c r="K182" s="426">
        <v>0</v>
      </c>
      <c r="L182" s="424">
        <v>0</v>
      </c>
      <c r="M182" s="424">
        <v>0</v>
      </c>
      <c r="N182" s="424">
        <v>0</v>
      </c>
      <c r="O182" s="426">
        <v>0</v>
      </c>
      <c r="P182" s="426">
        <v>0</v>
      </c>
      <c r="Q182" s="424">
        <v>0</v>
      </c>
      <c r="R182" s="426">
        <v>0</v>
      </c>
      <c r="S182" s="426">
        <v>0</v>
      </c>
      <c r="T182" s="426">
        <v>0</v>
      </c>
      <c r="U182" s="426">
        <v>6.2709147787145354E-5</v>
      </c>
      <c r="V182" s="421"/>
    </row>
    <row r="183" spans="1:22">
      <c r="A183" s="416"/>
      <c r="B183" s="394" t="s">
        <v>620</v>
      </c>
      <c r="C183" s="413">
        <v>0</v>
      </c>
      <c r="D183" s="414">
        <v>0</v>
      </c>
      <c r="E183" s="414">
        <v>0</v>
      </c>
      <c r="F183" s="414">
        <v>0</v>
      </c>
      <c r="G183" s="414">
        <v>0</v>
      </c>
      <c r="H183" s="414">
        <v>0</v>
      </c>
      <c r="I183" s="414">
        <v>0</v>
      </c>
      <c r="J183" s="415">
        <v>0</v>
      </c>
      <c r="K183" s="415">
        <v>0</v>
      </c>
      <c r="L183" s="414">
        <v>0</v>
      </c>
      <c r="M183" s="414">
        <v>0</v>
      </c>
      <c r="N183" s="414">
        <v>0</v>
      </c>
      <c r="O183" s="415">
        <v>0</v>
      </c>
      <c r="P183" s="415">
        <v>0</v>
      </c>
      <c r="Q183" s="414">
        <v>0</v>
      </c>
      <c r="R183" s="415">
        <v>0</v>
      </c>
      <c r="S183" s="415">
        <v>0</v>
      </c>
      <c r="T183" s="415">
        <v>0</v>
      </c>
      <c r="U183" s="415">
        <v>0</v>
      </c>
      <c r="V183" s="421"/>
    </row>
    <row r="184" spans="1:22">
      <c r="A184" s="416"/>
      <c r="B184" s="417" t="s">
        <v>621</v>
      </c>
      <c r="C184" s="418">
        <v>0</v>
      </c>
      <c r="D184" s="419">
        <v>0</v>
      </c>
      <c r="E184" s="419">
        <v>0</v>
      </c>
      <c r="F184" s="419">
        <v>0</v>
      </c>
      <c r="G184" s="419">
        <v>0</v>
      </c>
      <c r="H184" s="419">
        <v>0</v>
      </c>
      <c r="I184" s="419">
        <v>0</v>
      </c>
      <c r="J184" s="420">
        <v>0</v>
      </c>
      <c r="K184" s="420">
        <v>0</v>
      </c>
      <c r="L184" s="419">
        <v>0</v>
      </c>
      <c r="M184" s="419">
        <v>0</v>
      </c>
      <c r="N184" s="419">
        <v>0</v>
      </c>
      <c r="O184" s="420">
        <v>0</v>
      </c>
      <c r="P184" s="420">
        <v>0</v>
      </c>
      <c r="Q184" s="419">
        <v>0</v>
      </c>
      <c r="R184" s="420">
        <v>0</v>
      </c>
      <c r="S184" s="420">
        <v>0</v>
      </c>
      <c r="T184" s="420">
        <v>0</v>
      </c>
      <c r="U184" s="420">
        <v>0</v>
      </c>
      <c r="V184" s="421"/>
    </row>
    <row r="185" spans="1:22" ht="15" thickBot="1">
      <c r="A185" s="432"/>
      <c r="B185" s="433" t="s">
        <v>622</v>
      </c>
      <c r="C185" s="434">
        <v>0</v>
      </c>
      <c r="D185" s="435">
        <v>0</v>
      </c>
      <c r="E185" s="435">
        <v>0</v>
      </c>
      <c r="F185" s="435">
        <v>0</v>
      </c>
      <c r="G185" s="435">
        <v>0</v>
      </c>
      <c r="H185" s="435">
        <v>0</v>
      </c>
      <c r="I185" s="435">
        <v>0</v>
      </c>
      <c r="J185" s="436">
        <v>0</v>
      </c>
      <c r="K185" s="436">
        <v>0</v>
      </c>
      <c r="L185" s="435">
        <v>0</v>
      </c>
      <c r="M185" s="435">
        <v>0</v>
      </c>
      <c r="N185" s="435">
        <v>0</v>
      </c>
      <c r="O185" s="436">
        <v>0</v>
      </c>
      <c r="P185" s="436">
        <v>0</v>
      </c>
      <c r="Q185" s="435">
        <v>0</v>
      </c>
      <c r="R185" s="436">
        <v>0</v>
      </c>
      <c r="S185" s="436">
        <v>0</v>
      </c>
      <c r="T185" s="436">
        <v>0</v>
      </c>
      <c r="U185" s="436">
        <v>0</v>
      </c>
      <c r="V185" s="421"/>
    </row>
    <row r="186" spans="1:22">
      <c r="A186" s="412" t="s">
        <v>191</v>
      </c>
      <c r="B186" s="394" t="s">
        <v>587</v>
      </c>
      <c r="C186" s="413">
        <v>0.87052638743673272</v>
      </c>
      <c r="D186" s="414">
        <v>0</v>
      </c>
      <c r="E186" s="414">
        <v>0.72249816070860917</v>
      </c>
      <c r="F186" s="414">
        <v>0.70110794409709454</v>
      </c>
      <c r="G186" s="414">
        <v>0</v>
      </c>
      <c r="H186" s="414">
        <v>0</v>
      </c>
      <c r="I186" s="414">
        <v>0</v>
      </c>
      <c r="J186" s="415">
        <v>0.78118775184404421</v>
      </c>
      <c r="K186" s="415">
        <v>0</v>
      </c>
      <c r="L186" s="414">
        <v>0.60296206660703955</v>
      </c>
      <c r="M186" s="414">
        <v>0.46575993543856381</v>
      </c>
      <c r="N186" s="414">
        <v>0.47525548679682889</v>
      </c>
      <c r="O186" s="415">
        <v>0.51208115009883082</v>
      </c>
      <c r="P186" s="415">
        <v>0.63362474243303257</v>
      </c>
      <c r="Q186" s="414">
        <v>0</v>
      </c>
      <c r="R186" s="415">
        <v>0.63362474243303257</v>
      </c>
      <c r="S186" s="415">
        <v>0</v>
      </c>
      <c r="T186" s="415">
        <v>0</v>
      </c>
      <c r="U186" s="415">
        <v>0.69564141204015439</v>
      </c>
      <c r="V186" s="421"/>
    </row>
    <row r="187" spans="1:22">
      <c r="A187" s="416"/>
      <c r="B187" s="417" t="s">
        <v>588</v>
      </c>
      <c r="C187" s="418">
        <v>0.86115518791996293</v>
      </c>
      <c r="D187" s="419">
        <v>0</v>
      </c>
      <c r="E187" s="419">
        <v>0.71476379230825904</v>
      </c>
      <c r="F187" s="419">
        <v>0.64752338683663135</v>
      </c>
      <c r="G187" s="419">
        <v>0</v>
      </c>
      <c r="H187" s="419">
        <v>0</v>
      </c>
      <c r="I187" s="419">
        <v>0</v>
      </c>
      <c r="J187" s="420">
        <v>0.77305342709215163</v>
      </c>
      <c r="K187" s="420">
        <v>0</v>
      </c>
      <c r="L187" s="419">
        <v>0.58854800461651979</v>
      </c>
      <c r="M187" s="419">
        <v>0.47769083792403677</v>
      </c>
      <c r="N187" s="419">
        <v>0.44681271616960594</v>
      </c>
      <c r="O187" s="420">
        <v>0.50407313114558605</v>
      </c>
      <c r="P187" s="420">
        <v>0.61106332913326511</v>
      </c>
      <c r="Q187" s="419">
        <v>0</v>
      </c>
      <c r="R187" s="420">
        <v>0.61106332913326511</v>
      </c>
      <c r="S187" s="420">
        <v>0</v>
      </c>
      <c r="T187" s="420">
        <v>0</v>
      </c>
      <c r="U187" s="420">
        <v>0.68576654180319241</v>
      </c>
      <c r="V187" s="421"/>
    </row>
    <row r="188" spans="1:22">
      <c r="A188" s="416"/>
      <c r="B188" s="422" t="s">
        <v>589</v>
      </c>
      <c r="C188" s="423">
        <v>-0.93711995167697903</v>
      </c>
      <c r="D188" s="424">
        <v>0</v>
      </c>
      <c r="E188" s="424">
        <v>-0.77343684003501334</v>
      </c>
      <c r="F188" s="424">
        <v>-5.3584557260463184</v>
      </c>
      <c r="G188" s="424">
        <v>0</v>
      </c>
      <c r="H188" s="424">
        <v>0</v>
      </c>
      <c r="I188" s="424">
        <v>0</v>
      </c>
      <c r="J188" s="426">
        <v>-0.81343247518925743</v>
      </c>
      <c r="K188" s="426">
        <v>0</v>
      </c>
      <c r="L188" s="424">
        <v>-1.4414061990519755</v>
      </c>
      <c r="M188" s="424">
        <v>1.1930902485472961</v>
      </c>
      <c r="N188" s="424">
        <v>-2.8442770627222949</v>
      </c>
      <c r="O188" s="426">
        <v>-0.80080189532447665</v>
      </c>
      <c r="P188" s="426">
        <v>-2.2561413299767463</v>
      </c>
      <c r="Q188" s="424">
        <v>0</v>
      </c>
      <c r="R188" s="426">
        <v>-2.2561413299767463</v>
      </c>
      <c r="S188" s="426">
        <v>0</v>
      </c>
      <c r="T188" s="426">
        <v>0</v>
      </c>
      <c r="U188" s="426">
        <v>-0.98748702369619856</v>
      </c>
      <c r="V188" s="421"/>
    </row>
    <row r="189" spans="1:22">
      <c r="A189" s="416"/>
      <c r="B189" s="394" t="s">
        <v>590</v>
      </c>
      <c r="C189" s="413">
        <v>2.0888360335559939E-2</v>
      </c>
      <c r="D189" s="414">
        <v>0</v>
      </c>
      <c r="E189" s="414">
        <v>6.1524861222965965E-2</v>
      </c>
      <c r="F189" s="414">
        <v>0</v>
      </c>
      <c r="G189" s="414">
        <v>0</v>
      </c>
      <c r="H189" s="414">
        <v>0</v>
      </c>
      <c r="I189" s="414">
        <v>0</v>
      </c>
      <c r="J189" s="415">
        <v>4.4307961693500493E-2</v>
      </c>
      <c r="K189" s="415">
        <v>0</v>
      </c>
      <c r="L189" s="414">
        <v>4.2523807018466878E-2</v>
      </c>
      <c r="M189" s="414">
        <v>5.6755089450956198E-2</v>
      </c>
      <c r="N189" s="414">
        <v>5.4072430204907145E-2</v>
      </c>
      <c r="O189" s="415">
        <v>5.1535442005333408E-2</v>
      </c>
      <c r="P189" s="415">
        <v>5.2193570328285352E-2</v>
      </c>
      <c r="Q189" s="414">
        <v>0</v>
      </c>
      <c r="R189" s="415">
        <v>5.2193570328285352E-2</v>
      </c>
      <c r="S189" s="415">
        <v>0</v>
      </c>
      <c r="T189" s="415">
        <v>0</v>
      </c>
      <c r="U189" s="415">
        <v>4.6753021374006366E-2</v>
      </c>
      <c r="V189" s="421"/>
    </row>
    <row r="190" spans="1:22">
      <c r="A190" s="416"/>
      <c r="B190" s="417" t="s">
        <v>591</v>
      </c>
      <c r="C190" s="418">
        <v>2.0379716138986113E-2</v>
      </c>
      <c r="D190" s="419">
        <v>0</v>
      </c>
      <c r="E190" s="419">
        <v>5.7630027682678261E-2</v>
      </c>
      <c r="F190" s="419">
        <v>0</v>
      </c>
      <c r="G190" s="419">
        <v>0</v>
      </c>
      <c r="H190" s="419">
        <v>0</v>
      </c>
      <c r="I190" s="419">
        <v>0</v>
      </c>
      <c r="J190" s="420">
        <v>4.1494985986978573E-2</v>
      </c>
      <c r="K190" s="420">
        <v>0</v>
      </c>
      <c r="L190" s="419">
        <v>5.7074288077088836E-2</v>
      </c>
      <c r="M190" s="419">
        <v>6.6391583490186923E-2</v>
      </c>
      <c r="N190" s="419">
        <v>5.4295272328402172E-2</v>
      </c>
      <c r="O190" s="420">
        <v>5.9334922829110986E-2</v>
      </c>
      <c r="P190" s="420">
        <v>5.3021816409776518E-2</v>
      </c>
      <c r="Q190" s="419">
        <v>0</v>
      </c>
      <c r="R190" s="420">
        <v>5.3021816409776518E-2</v>
      </c>
      <c r="S190" s="420">
        <v>0</v>
      </c>
      <c r="T190" s="420">
        <v>0</v>
      </c>
      <c r="U190" s="420">
        <v>4.7315183541856751E-2</v>
      </c>
      <c r="V190" s="421"/>
    </row>
    <row r="191" spans="1:22">
      <c r="A191" s="416"/>
      <c r="B191" s="422" t="s">
        <v>592</v>
      </c>
      <c r="C191" s="423">
        <v>-5.0864419657382573E-2</v>
      </c>
      <c r="D191" s="424">
        <v>0</v>
      </c>
      <c r="E191" s="424">
        <v>-0.38948335402877038</v>
      </c>
      <c r="F191" s="424">
        <v>0</v>
      </c>
      <c r="G191" s="424">
        <v>0</v>
      </c>
      <c r="H191" s="424">
        <v>0</v>
      </c>
      <c r="I191" s="424">
        <v>0</v>
      </c>
      <c r="J191" s="426">
        <v>-0.28129757065219196</v>
      </c>
      <c r="K191" s="426">
        <v>0</v>
      </c>
      <c r="L191" s="424">
        <v>1.4550481058621958</v>
      </c>
      <c r="M191" s="424">
        <v>0.96364940392307252</v>
      </c>
      <c r="N191" s="424">
        <v>2.2284212349502758E-2</v>
      </c>
      <c r="O191" s="426">
        <v>0.77994808237775781</v>
      </c>
      <c r="P191" s="426">
        <v>8.2824608149116574E-2</v>
      </c>
      <c r="Q191" s="424">
        <v>0</v>
      </c>
      <c r="R191" s="426">
        <v>8.2824608149116574E-2</v>
      </c>
      <c r="S191" s="426">
        <v>0</v>
      </c>
      <c r="T191" s="426">
        <v>0</v>
      </c>
      <c r="U191" s="426">
        <v>5.6216216785038436E-2</v>
      </c>
      <c r="V191" s="421"/>
    </row>
    <row r="192" spans="1:22">
      <c r="A192" s="416"/>
      <c r="B192" s="394" t="s">
        <v>593</v>
      </c>
      <c r="C192" s="413">
        <v>0.10694885868404086</v>
      </c>
      <c r="D192" s="414">
        <v>0</v>
      </c>
      <c r="E192" s="414">
        <v>0.20218535543621027</v>
      </c>
      <c r="F192" s="414">
        <v>0.29886906951084957</v>
      </c>
      <c r="G192" s="414">
        <v>0</v>
      </c>
      <c r="H192" s="414">
        <v>0</v>
      </c>
      <c r="I192" s="414">
        <v>0</v>
      </c>
      <c r="J192" s="415">
        <v>0.16578657538099689</v>
      </c>
      <c r="K192" s="415">
        <v>0</v>
      </c>
      <c r="L192" s="414">
        <v>0.35451412637449359</v>
      </c>
      <c r="M192" s="414">
        <v>0.47748497511047999</v>
      </c>
      <c r="N192" s="414">
        <v>0.47067208299826396</v>
      </c>
      <c r="O192" s="415">
        <v>0.4363834078958358</v>
      </c>
      <c r="P192" s="415">
        <v>0.31418168723868206</v>
      </c>
      <c r="Q192" s="414">
        <v>0</v>
      </c>
      <c r="R192" s="415">
        <v>0.31418168723868206</v>
      </c>
      <c r="S192" s="415">
        <v>0</v>
      </c>
      <c r="T192" s="415">
        <v>0</v>
      </c>
      <c r="U192" s="415">
        <v>0.2518072068588218</v>
      </c>
      <c r="V192" s="421"/>
    </row>
    <row r="193" spans="1:22">
      <c r="A193" s="416"/>
      <c r="B193" s="417" t="s">
        <v>594</v>
      </c>
      <c r="C193" s="418">
        <v>0.11695757360508834</v>
      </c>
      <c r="D193" s="419">
        <v>0</v>
      </c>
      <c r="E193" s="419">
        <v>0.21342137248088133</v>
      </c>
      <c r="F193" s="419">
        <v>0.35243211977619826</v>
      </c>
      <c r="G193" s="419">
        <v>0</v>
      </c>
      <c r="H193" s="419">
        <v>0</v>
      </c>
      <c r="I193" s="419">
        <v>0</v>
      </c>
      <c r="J193" s="420">
        <v>0.17666257024446294</v>
      </c>
      <c r="K193" s="420">
        <v>0</v>
      </c>
      <c r="L193" s="419">
        <v>0.35437770730639134</v>
      </c>
      <c r="M193" s="419">
        <v>0.45591757858577642</v>
      </c>
      <c r="N193" s="419">
        <v>0.49889201150199175</v>
      </c>
      <c r="O193" s="420">
        <v>0.43659194602530299</v>
      </c>
      <c r="P193" s="420">
        <v>0.3359148544569584</v>
      </c>
      <c r="Q193" s="419">
        <v>0</v>
      </c>
      <c r="R193" s="420">
        <v>0.3359148544569584</v>
      </c>
      <c r="S193" s="420">
        <v>0</v>
      </c>
      <c r="T193" s="420">
        <v>0</v>
      </c>
      <c r="U193" s="420">
        <v>0.26111959634321585</v>
      </c>
      <c r="V193" s="421"/>
    </row>
    <row r="194" spans="1:22">
      <c r="A194" s="416"/>
      <c r="B194" s="422" t="s">
        <v>595</v>
      </c>
      <c r="C194" s="423">
        <v>1.0008714921047477</v>
      </c>
      <c r="D194" s="424">
        <v>0</v>
      </c>
      <c r="E194" s="424">
        <v>1.1236017044671058</v>
      </c>
      <c r="F194" s="424">
        <v>5.3563050265348693</v>
      </c>
      <c r="G194" s="424">
        <v>0</v>
      </c>
      <c r="H194" s="424">
        <v>0</v>
      </c>
      <c r="I194" s="424">
        <v>0</v>
      </c>
      <c r="J194" s="426">
        <v>1.0875994863466047</v>
      </c>
      <c r="K194" s="426">
        <v>0</v>
      </c>
      <c r="L194" s="424">
        <v>-1.364190681022448E-2</v>
      </c>
      <c r="M194" s="424">
        <v>-2.1567396524703577</v>
      </c>
      <c r="N194" s="424">
        <v>2.8219928503727787</v>
      </c>
      <c r="O194" s="426">
        <v>2.0853812946719508E-2</v>
      </c>
      <c r="P194" s="426">
        <v>2.1733167218276339</v>
      </c>
      <c r="Q194" s="424">
        <v>0</v>
      </c>
      <c r="R194" s="426">
        <v>2.1733167218276339</v>
      </c>
      <c r="S194" s="426">
        <v>0</v>
      </c>
      <c r="T194" s="426">
        <v>0</v>
      </c>
      <c r="U194" s="426">
        <v>0.93123894843940569</v>
      </c>
      <c r="V194" s="421"/>
    </row>
    <row r="195" spans="1:22">
      <c r="A195" s="416"/>
      <c r="B195" s="394" t="s">
        <v>596</v>
      </c>
      <c r="C195" s="413">
        <v>5.1048672072784057E-4</v>
      </c>
      <c r="D195" s="414">
        <v>0</v>
      </c>
      <c r="E195" s="414">
        <v>1.3754869044387372E-2</v>
      </c>
      <c r="F195" s="414">
        <v>2.2986392055902906E-5</v>
      </c>
      <c r="G195" s="414">
        <v>0</v>
      </c>
      <c r="H195" s="414">
        <v>0</v>
      </c>
      <c r="I195" s="414">
        <v>0</v>
      </c>
      <c r="J195" s="415">
        <v>8.2471560263284605E-3</v>
      </c>
      <c r="K195" s="415">
        <v>0</v>
      </c>
      <c r="L195" s="414">
        <v>0</v>
      </c>
      <c r="M195" s="414">
        <v>0</v>
      </c>
      <c r="N195" s="414">
        <v>0</v>
      </c>
      <c r="O195" s="415">
        <v>0</v>
      </c>
      <c r="P195" s="415">
        <v>0</v>
      </c>
      <c r="Q195" s="414">
        <v>0</v>
      </c>
      <c r="R195" s="415">
        <v>0</v>
      </c>
      <c r="S195" s="415">
        <v>0</v>
      </c>
      <c r="T195" s="415">
        <v>0</v>
      </c>
      <c r="U195" s="415">
        <v>5.485382220018673E-3</v>
      </c>
      <c r="V195" s="421"/>
    </row>
    <row r="196" spans="1:22">
      <c r="A196" s="416"/>
      <c r="B196" s="417" t="s">
        <v>597</v>
      </c>
      <c r="C196" s="418">
        <v>2.8928389347478649E-4</v>
      </c>
      <c r="D196" s="419">
        <v>0</v>
      </c>
      <c r="E196" s="419">
        <v>1.4111471474461729E-2</v>
      </c>
      <c r="F196" s="419">
        <v>4.4493387170331808E-5</v>
      </c>
      <c r="G196" s="419">
        <v>0</v>
      </c>
      <c r="H196" s="419">
        <v>0</v>
      </c>
      <c r="I196" s="419">
        <v>0</v>
      </c>
      <c r="J196" s="420">
        <v>8.2519187194343754E-3</v>
      </c>
      <c r="K196" s="420">
        <v>0</v>
      </c>
      <c r="L196" s="419">
        <v>0</v>
      </c>
      <c r="M196" s="419">
        <v>0</v>
      </c>
      <c r="N196" s="419">
        <v>0</v>
      </c>
      <c r="O196" s="420">
        <v>0</v>
      </c>
      <c r="P196" s="420">
        <v>0</v>
      </c>
      <c r="Q196" s="419">
        <v>0</v>
      </c>
      <c r="R196" s="420">
        <v>0</v>
      </c>
      <c r="S196" s="420">
        <v>0</v>
      </c>
      <c r="T196" s="420">
        <v>0</v>
      </c>
      <c r="U196" s="420">
        <v>5.4443203227765805E-3</v>
      </c>
      <c r="V196" s="421"/>
    </row>
    <row r="197" spans="1:22">
      <c r="A197" s="416"/>
      <c r="B197" s="422" t="s">
        <v>598</v>
      </c>
      <c r="C197" s="423">
        <v>-2.2120282725305408E-2</v>
      </c>
      <c r="D197" s="424">
        <v>0</v>
      </c>
      <c r="E197" s="424">
        <v>3.5660243007435734E-2</v>
      </c>
      <c r="F197" s="424">
        <v>2.15069951144289E-3</v>
      </c>
      <c r="G197" s="424">
        <v>0</v>
      </c>
      <c r="H197" s="424">
        <v>0</v>
      </c>
      <c r="I197" s="424">
        <v>0</v>
      </c>
      <c r="J197" s="426">
        <v>4.7626931059148447E-4</v>
      </c>
      <c r="K197" s="426">
        <v>0</v>
      </c>
      <c r="L197" s="424">
        <v>0</v>
      </c>
      <c r="M197" s="424">
        <v>0</v>
      </c>
      <c r="N197" s="424">
        <v>0</v>
      </c>
      <c r="O197" s="426">
        <v>0</v>
      </c>
      <c r="P197" s="426">
        <v>0</v>
      </c>
      <c r="Q197" s="424">
        <v>0</v>
      </c>
      <c r="R197" s="426">
        <v>0</v>
      </c>
      <c r="S197" s="426">
        <v>0</v>
      </c>
      <c r="T197" s="426">
        <v>0</v>
      </c>
      <c r="U197" s="426">
        <v>-4.1061897242092478E-3</v>
      </c>
      <c r="V197" s="421"/>
    </row>
    <row r="198" spans="1:22">
      <c r="A198" s="416"/>
      <c r="B198" s="394" t="s">
        <v>599</v>
      </c>
      <c r="C198" s="413">
        <v>1.1259068229386262E-3</v>
      </c>
      <c r="D198" s="414">
        <v>0</v>
      </c>
      <c r="E198" s="414">
        <v>3.675358782721171E-5</v>
      </c>
      <c r="F198" s="414">
        <v>0</v>
      </c>
      <c r="G198" s="414">
        <v>0</v>
      </c>
      <c r="H198" s="414">
        <v>0</v>
      </c>
      <c r="I198" s="414">
        <v>0</v>
      </c>
      <c r="J198" s="415">
        <v>4.7055505512997388E-4</v>
      </c>
      <c r="K198" s="415">
        <v>0</v>
      </c>
      <c r="L198" s="414">
        <v>0</v>
      </c>
      <c r="M198" s="414">
        <v>0</v>
      </c>
      <c r="N198" s="414">
        <v>0</v>
      </c>
      <c r="O198" s="415">
        <v>0</v>
      </c>
      <c r="P198" s="415">
        <v>0</v>
      </c>
      <c r="Q198" s="414">
        <v>0</v>
      </c>
      <c r="R198" s="415">
        <v>0</v>
      </c>
      <c r="S198" s="415">
        <v>0</v>
      </c>
      <c r="T198" s="415">
        <v>0</v>
      </c>
      <c r="U198" s="415">
        <v>3.1297750699873378E-4</v>
      </c>
      <c r="V198" s="421"/>
    </row>
    <row r="199" spans="1:22">
      <c r="A199" s="416"/>
      <c r="B199" s="417" t="s">
        <v>600</v>
      </c>
      <c r="C199" s="418">
        <v>1.2182384424878796E-3</v>
      </c>
      <c r="D199" s="419">
        <v>0</v>
      </c>
      <c r="E199" s="419">
        <v>7.3336053719668556E-5</v>
      </c>
      <c r="F199" s="419">
        <v>0</v>
      </c>
      <c r="G199" s="419">
        <v>0</v>
      </c>
      <c r="H199" s="419">
        <v>0</v>
      </c>
      <c r="I199" s="419">
        <v>0</v>
      </c>
      <c r="J199" s="420">
        <v>5.3709795697244286E-4</v>
      </c>
      <c r="K199" s="420">
        <v>0</v>
      </c>
      <c r="L199" s="419">
        <v>0</v>
      </c>
      <c r="M199" s="419">
        <v>0</v>
      </c>
      <c r="N199" s="419">
        <v>0</v>
      </c>
      <c r="O199" s="420">
        <v>0</v>
      </c>
      <c r="P199" s="420">
        <v>0</v>
      </c>
      <c r="Q199" s="419">
        <v>0</v>
      </c>
      <c r="R199" s="420">
        <v>0</v>
      </c>
      <c r="S199" s="420">
        <v>0</v>
      </c>
      <c r="T199" s="420">
        <v>0</v>
      </c>
      <c r="U199" s="420">
        <v>3.5435798895838922E-4</v>
      </c>
      <c r="V199" s="421"/>
    </row>
    <row r="200" spans="1:22">
      <c r="A200" s="416"/>
      <c r="B200" s="422" t="s">
        <v>601</v>
      </c>
      <c r="C200" s="423">
        <v>9.2331619549253438E-3</v>
      </c>
      <c r="D200" s="424">
        <v>0</v>
      </c>
      <c r="E200" s="424">
        <v>3.6582465892456848E-3</v>
      </c>
      <c r="F200" s="424">
        <v>0</v>
      </c>
      <c r="G200" s="424">
        <v>0</v>
      </c>
      <c r="H200" s="424">
        <v>0</v>
      </c>
      <c r="I200" s="424">
        <v>0</v>
      </c>
      <c r="J200" s="426">
        <v>6.6542901842468975E-3</v>
      </c>
      <c r="K200" s="426">
        <v>0</v>
      </c>
      <c r="L200" s="424">
        <v>0</v>
      </c>
      <c r="M200" s="424">
        <v>0</v>
      </c>
      <c r="N200" s="424">
        <v>0</v>
      </c>
      <c r="O200" s="426">
        <v>0</v>
      </c>
      <c r="P200" s="426">
        <v>0</v>
      </c>
      <c r="Q200" s="424">
        <v>0</v>
      </c>
      <c r="R200" s="426">
        <v>0</v>
      </c>
      <c r="S200" s="426">
        <v>0</v>
      </c>
      <c r="T200" s="426">
        <v>0</v>
      </c>
      <c r="U200" s="426">
        <v>4.1380481959655442E-3</v>
      </c>
      <c r="V200" s="421"/>
    </row>
    <row r="201" spans="1:22">
      <c r="A201" s="416"/>
      <c r="B201" s="394" t="s">
        <v>602</v>
      </c>
      <c r="C201" s="413">
        <v>0</v>
      </c>
      <c r="D201" s="414">
        <v>0</v>
      </c>
      <c r="E201" s="414">
        <v>0</v>
      </c>
      <c r="F201" s="414">
        <v>0</v>
      </c>
      <c r="G201" s="414">
        <v>0</v>
      </c>
      <c r="H201" s="414">
        <v>0</v>
      </c>
      <c r="I201" s="414">
        <v>0</v>
      </c>
      <c r="J201" s="415">
        <v>0</v>
      </c>
      <c r="K201" s="415">
        <v>0</v>
      </c>
      <c r="L201" s="414">
        <v>0</v>
      </c>
      <c r="M201" s="414">
        <v>0</v>
      </c>
      <c r="N201" s="414">
        <v>0</v>
      </c>
      <c r="O201" s="415">
        <v>0</v>
      </c>
      <c r="P201" s="415">
        <v>0</v>
      </c>
      <c r="Q201" s="414">
        <v>0</v>
      </c>
      <c r="R201" s="415">
        <v>0</v>
      </c>
      <c r="S201" s="415">
        <v>0</v>
      </c>
      <c r="T201" s="415">
        <v>0</v>
      </c>
      <c r="U201" s="415">
        <v>0</v>
      </c>
      <c r="V201" s="421"/>
    </row>
    <row r="202" spans="1:22">
      <c r="A202" s="416"/>
      <c r="B202" s="417" t="s">
        <v>603</v>
      </c>
      <c r="C202" s="418">
        <v>0</v>
      </c>
      <c r="D202" s="419">
        <v>0</v>
      </c>
      <c r="E202" s="419">
        <v>0</v>
      </c>
      <c r="F202" s="419">
        <v>0</v>
      </c>
      <c r="G202" s="419">
        <v>0</v>
      </c>
      <c r="H202" s="419">
        <v>0</v>
      </c>
      <c r="I202" s="419">
        <v>0</v>
      </c>
      <c r="J202" s="420">
        <v>0</v>
      </c>
      <c r="K202" s="420">
        <v>0</v>
      </c>
      <c r="L202" s="419">
        <v>0</v>
      </c>
      <c r="M202" s="419">
        <v>0</v>
      </c>
      <c r="N202" s="419">
        <v>0</v>
      </c>
      <c r="O202" s="420">
        <v>0</v>
      </c>
      <c r="P202" s="420">
        <v>0</v>
      </c>
      <c r="Q202" s="419">
        <v>0</v>
      </c>
      <c r="R202" s="420">
        <v>0</v>
      </c>
      <c r="S202" s="420">
        <v>0</v>
      </c>
      <c r="T202" s="420">
        <v>0</v>
      </c>
      <c r="U202" s="420">
        <v>0</v>
      </c>
      <c r="V202" s="421"/>
    </row>
    <row r="203" spans="1:22" ht="15" thickBot="1">
      <c r="A203" s="416"/>
      <c r="B203" s="428" t="s">
        <v>604</v>
      </c>
      <c r="C203" s="429">
        <v>0</v>
      </c>
      <c r="D203" s="430">
        <v>0</v>
      </c>
      <c r="E203" s="430">
        <v>0</v>
      </c>
      <c r="F203" s="430">
        <v>0</v>
      </c>
      <c r="G203" s="430">
        <v>0</v>
      </c>
      <c r="H203" s="430">
        <v>0</v>
      </c>
      <c r="I203" s="430">
        <v>0</v>
      </c>
      <c r="J203" s="431">
        <v>0</v>
      </c>
      <c r="K203" s="431">
        <v>0</v>
      </c>
      <c r="L203" s="430">
        <v>0</v>
      </c>
      <c r="M203" s="430">
        <v>0</v>
      </c>
      <c r="N203" s="430">
        <v>0</v>
      </c>
      <c r="O203" s="431">
        <v>0</v>
      </c>
      <c r="P203" s="431">
        <v>0</v>
      </c>
      <c r="Q203" s="430">
        <v>0</v>
      </c>
      <c r="R203" s="431">
        <v>0</v>
      </c>
      <c r="S203" s="431">
        <v>0</v>
      </c>
      <c r="T203" s="431">
        <v>0</v>
      </c>
      <c r="U203" s="431">
        <v>0</v>
      </c>
      <c r="V203" s="421"/>
    </row>
    <row r="204" spans="1:22" ht="15" thickTop="1">
      <c r="A204" s="416"/>
      <c r="B204" s="417" t="s">
        <v>605</v>
      </c>
      <c r="C204" s="418">
        <v>0.72338064579065453</v>
      </c>
      <c r="D204" s="419">
        <v>0</v>
      </c>
      <c r="E204" s="419">
        <v>0.42683542011589404</v>
      </c>
      <c r="F204" s="419">
        <v>0.7931034482758621</v>
      </c>
      <c r="G204" s="419">
        <v>0</v>
      </c>
      <c r="H204" s="419">
        <v>0</v>
      </c>
      <c r="I204" s="419">
        <v>0</v>
      </c>
      <c r="J204" s="420">
        <v>0.580734732080181</v>
      </c>
      <c r="K204" s="420">
        <v>0</v>
      </c>
      <c r="L204" s="419">
        <v>0</v>
      </c>
      <c r="M204" s="419">
        <v>0</v>
      </c>
      <c r="N204" s="419">
        <v>0</v>
      </c>
      <c r="O204" s="420">
        <v>0</v>
      </c>
      <c r="P204" s="420">
        <v>0</v>
      </c>
      <c r="Q204" s="419">
        <v>0</v>
      </c>
      <c r="R204" s="420">
        <v>0</v>
      </c>
      <c r="S204" s="420">
        <v>0</v>
      </c>
      <c r="T204" s="420">
        <v>0</v>
      </c>
      <c r="U204" s="420">
        <v>0.580734732080181</v>
      </c>
      <c r="V204" s="421"/>
    </row>
    <row r="205" spans="1:22">
      <c r="A205" s="416"/>
      <c r="B205" s="417" t="s">
        <v>606</v>
      </c>
      <c r="C205" s="418">
        <v>0.68727211031249036</v>
      </c>
      <c r="D205" s="419">
        <v>0</v>
      </c>
      <c r="E205" s="419">
        <v>0.36331841946660415</v>
      </c>
      <c r="F205" s="419">
        <v>0.72528433945756776</v>
      </c>
      <c r="G205" s="419">
        <v>0</v>
      </c>
      <c r="H205" s="419">
        <v>0</v>
      </c>
      <c r="I205" s="419">
        <v>0</v>
      </c>
      <c r="J205" s="420">
        <v>0.52324275836742307</v>
      </c>
      <c r="K205" s="420">
        <v>0</v>
      </c>
      <c r="L205" s="419">
        <v>0</v>
      </c>
      <c r="M205" s="419">
        <v>0</v>
      </c>
      <c r="N205" s="419">
        <v>0</v>
      </c>
      <c r="O205" s="420">
        <v>0</v>
      </c>
      <c r="P205" s="420">
        <v>0</v>
      </c>
      <c r="Q205" s="419">
        <v>0</v>
      </c>
      <c r="R205" s="420">
        <v>0</v>
      </c>
      <c r="S205" s="420">
        <v>0</v>
      </c>
      <c r="T205" s="420">
        <v>0</v>
      </c>
      <c r="U205" s="420">
        <v>0.52324275836742307</v>
      </c>
      <c r="V205" s="421"/>
    </row>
    <row r="206" spans="1:22">
      <c r="A206" s="416"/>
      <c r="B206" s="422" t="s">
        <v>607</v>
      </c>
      <c r="C206" s="423">
        <v>-3.6108535478164172</v>
      </c>
      <c r="D206" s="424">
        <v>0</v>
      </c>
      <c r="E206" s="424">
        <v>-6.3517000649289894</v>
      </c>
      <c r="F206" s="424">
        <v>-6.7819108818294342</v>
      </c>
      <c r="G206" s="424">
        <v>0</v>
      </c>
      <c r="H206" s="424">
        <v>0</v>
      </c>
      <c r="I206" s="424">
        <v>0</v>
      </c>
      <c r="J206" s="426">
        <v>-5.7491973712757938</v>
      </c>
      <c r="K206" s="426">
        <v>0</v>
      </c>
      <c r="L206" s="424">
        <v>0</v>
      </c>
      <c r="M206" s="424">
        <v>0</v>
      </c>
      <c r="N206" s="424">
        <v>0</v>
      </c>
      <c r="O206" s="426">
        <v>0</v>
      </c>
      <c r="P206" s="426">
        <v>0</v>
      </c>
      <c r="Q206" s="424">
        <v>0</v>
      </c>
      <c r="R206" s="426">
        <v>0</v>
      </c>
      <c r="S206" s="426">
        <v>0</v>
      </c>
      <c r="T206" s="426">
        <v>0</v>
      </c>
      <c r="U206" s="426">
        <v>-5.7491973712757938</v>
      </c>
      <c r="V206" s="421"/>
    </row>
    <row r="207" spans="1:22">
      <c r="A207" s="416"/>
      <c r="B207" s="394" t="s">
        <v>608</v>
      </c>
      <c r="C207" s="413">
        <v>3.9880255584820994E-2</v>
      </c>
      <c r="D207" s="414">
        <v>0</v>
      </c>
      <c r="E207" s="414">
        <v>3.0441587334437085E-2</v>
      </c>
      <c r="F207" s="414">
        <v>0</v>
      </c>
      <c r="G207" s="414">
        <v>0</v>
      </c>
      <c r="H207" s="414">
        <v>0</v>
      </c>
      <c r="I207" s="414">
        <v>0</v>
      </c>
      <c r="J207" s="415">
        <v>3.5092426487793461E-2</v>
      </c>
      <c r="K207" s="415">
        <v>0</v>
      </c>
      <c r="L207" s="414">
        <v>0</v>
      </c>
      <c r="M207" s="414">
        <v>0</v>
      </c>
      <c r="N207" s="414">
        <v>0</v>
      </c>
      <c r="O207" s="415">
        <v>0</v>
      </c>
      <c r="P207" s="415">
        <v>0</v>
      </c>
      <c r="Q207" s="414">
        <v>0</v>
      </c>
      <c r="R207" s="415">
        <v>0</v>
      </c>
      <c r="S207" s="415">
        <v>0</v>
      </c>
      <c r="T207" s="415">
        <v>0</v>
      </c>
      <c r="U207" s="415">
        <v>3.5092426487793461E-2</v>
      </c>
      <c r="V207" s="421"/>
    </row>
    <row r="208" spans="1:22">
      <c r="A208" s="416"/>
      <c r="B208" s="417" t="s">
        <v>609</v>
      </c>
      <c r="C208" s="418">
        <v>3.968905204059598E-2</v>
      </c>
      <c r="D208" s="419">
        <v>0</v>
      </c>
      <c r="E208" s="419">
        <v>3.5891254457088739E-2</v>
      </c>
      <c r="F208" s="419">
        <v>0</v>
      </c>
      <c r="G208" s="419">
        <v>0</v>
      </c>
      <c r="H208" s="419">
        <v>0</v>
      </c>
      <c r="I208" s="419">
        <v>0</v>
      </c>
      <c r="J208" s="420">
        <v>3.7558961021760269E-2</v>
      </c>
      <c r="K208" s="420">
        <v>0</v>
      </c>
      <c r="L208" s="419">
        <v>0</v>
      </c>
      <c r="M208" s="419">
        <v>0</v>
      </c>
      <c r="N208" s="419">
        <v>0</v>
      </c>
      <c r="O208" s="420">
        <v>0</v>
      </c>
      <c r="P208" s="420">
        <v>0</v>
      </c>
      <c r="Q208" s="419">
        <v>0</v>
      </c>
      <c r="R208" s="420">
        <v>0</v>
      </c>
      <c r="S208" s="420">
        <v>0</v>
      </c>
      <c r="T208" s="420">
        <v>0</v>
      </c>
      <c r="U208" s="420">
        <v>3.7558961021760269E-2</v>
      </c>
      <c r="V208" s="421"/>
    </row>
    <row r="209" spans="1:22">
      <c r="A209" s="416"/>
      <c r="B209" s="422" t="s">
        <v>610</v>
      </c>
      <c r="C209" s="423">
        <v>-1.9120354422501318E-2</v>
      </c>
      <c r="D209" s="424">
        <v>0</v>
      </c>
      <c r="E209" s="424">
        <v>0.54496671226516546</v>
      </c>
      <c r="F209" s="424">
        <v>0</v>
      </c>
      <c r="G209" s="424">
        <v>0</v>
      </c>
      <c r="H209" s="424">
        <v>0</v>
      </c>
      <c r="I209" s="424">
        <v>0</v>
      </c>
      <c r="J209" s="426">
        <v>0.24665345339668077</v>
      </c>
      <c r="K209" s="426">
        <v>0</v>
      </c>
      <c r="L209" s="424">
        <v>0</v>
      </c>
      <c r="M209" s="424">
        <v>0</v>
      </c>
      <c r="N209" s="424">
        <v>0</v>
      </c>
      <c r="O209" s="426">
        <v>0</v>
      </c>
      <c r="P209" s="426">
        <v>0</v>
      </c>
      <c r="Q209" s="424">
        <v>0</v>
      </c>
      <c r="R209" s="426">
        <v>0</v>
      </c>
      <c r="S209" s="426">
        <v>0</v>
      </c>
      <c r="T209" s="426">
        <v>0</v>
      </c>
      <c r="U209" s="426">
        <v>0.24665345339668077</v>
      </c>
      <c r="V209" s="421"/>
    </row>
    <row r="210" spans="1:22">
      <c r="A210" s="416"/>
      <c r="B210" s="394" t="s">
        <v>611</v>
      </c>
      <c r="C210" s="413">
        <v>0.23501365720417519</v>
      </c>
      <c r="D210" s="414">
        <v>0</v>
      </c>
      <c r="E210" s="414">
        <v>0.53611987789735094</v>
      </c>
      <c r="F210" s="414">
        <v>0.20689655172413793</v>
      </c>
      <c r="G210" s="414">
        <v>0</v>
      </c>
      <c r="H210" s="414">
        <v>0</v>
      </c>
      <c r="I210" s="414">
        <v>0</v>
      </c>
      <c r="J210" s="415">
        <v>0.3801045160283909</v>
      </c>
      <c r="K210" s="415">
        <v>0</v>
      </c>
      <c r="L210" s="414">
        <v>0</v>
      </c>
      <c r="M210" s="414">
        <v>0</v>
      </c>
      <c r="N210" s="414">
        <v>0</v>
      </c>
      <c r="O210" s="415">
        <v>0</v>
      </c>
      <c r="P210" s="415">
        <v>0</v>
      </c>
      <c r="Q210" s="414">
        <v>0</v>
      </c>
      <c r="R210" s="415">
        <v>0</v>
      </c>
      <c r="S210" s="415">
        <v>0</v>
      </c>
      <c r="T210" s="415">
        <v>0</v>
      </c>
      <c r="U210" s="415">
        <v>0.3801045160283909</v>
      </c>
      <c r="V210" s="421"/>
    </row>
    <row r="211" spans="1:22">
      <c r="A211" s="416"/>
      <c r="B211" s="417" t="s">
        <v>612</v>
      </c>
      <c r="C211" s="418">
        <v>0.26891754326433659</v>
      </c>
      <c r="D211" s="419">
        <v>0</v>
      </c>
      <c r="E211" s="419">
        <v>0.598528010260582</v>
      </c>
      <c r="F211" s="419">
        <v>0.27471566054243218</v>
      </c>
      <c r="G211" s="419">
        <v>0</v>
      </c>
      <c r="H211" s="419">
        <v>0</v>
      </c>
      <c r="I211" s="419">
        <v>0</v>
      </c>
      <c r="J211" s="420">
        <v>0.43604064886472754</v>
      </c>
      <c r="K211" s="420">
        <v>0</v>
      </c>
      <c r="L211" s="419">
        <v>0</v>
      </c>
      <c r="M211" s="419">
        <v>0</v>
      </c>
      <c r="N211" s="419">
        <v>0</v>
      </c>
      <c r="O211" s="420">
        <v>0</v>
      </c>
      <c r="P211" s="420">
        <v>0</v>
      </c>
      <c r="Q211" s="419">
        <v>0</v>
      </c>
      <c r="R211" s="420">
        <v>0</v>
      </c>
      <c r="S211" s="420">
        <v>0</v>
      </c>
      <c r="T211" s="420">
        <v>0</v>
      </c>
      <c r="U211" s="420">
        <v>0.43604064886472754</v>
      </c>
      <c r="V211" s="421"/>
    </row>
    <row r="212" spans="1:22">
      <c r="A212" s="416"/>
      <c r="B212" s="422" t="s">
        <v>613</v>
      </c>
      <c r="C212" s="423">
        <v>3.3903886060161397</v>
      </c>
      <c r="D212" s="424">
        <v>0</v>
      </c>
      <c r="E212" s="424">
        <v>6.2408132363231061</v>
      </c>
      <c r="F212" s="424">
        <v>6.7819108818294254</v>
      </c>
      <c r="G212" s="424">
        <v>0</v>
      </c>
      <c r="H212" s="424">
        <v>0</v>
      </c>
      <c r="I212" s="424">
        <v>0</v>
      </c>
      <c r="J212" s="426">
        <v>5.5936132836336636</v>
      </c>
      <c r="K212" s="426">
        <v>0</v>
      </c>
      <c r="L212" s="424">
        <v>0</v>
      </c>
      <c r="M212" s="424">
        <v>0</v>
      </c>
      <c r="N212" s="424">
        <v>0</v>
      </c>
      <c r="O212" s="426">
        <v>0</v>
      </c>
      <c r="P212" s="426">
        <v>0</v>
      </c>
      <c r="Q212" s="424">
        <v>0</v>
      </c>
      <c r="R212" s="426">
        <v>0</v>
      </c>
      <c r="S212" s="426">
        <v>0</v>
      </c>
      <c r="T212" s="426">
        <v>0</v>
      </c>
      <c r="U212" s="426">
        <v>5.5936132836336636</v>
      </c>
      <c r="V212" s="421"/>
    </row>
    <row r="213" spans="1:22">
      <c r="A213" s="416"/>
      <c r="B213" s="394" t="s">
        <v>614</v>
      </c>
      <c r="C213" s="413">
        <v>0</v>
      </c>
      <c r="D213" s="414">
        <v>0</v>
      </c>
      <c r="E213" s="414">
        <v>6.5449089403973506E-3</v>
      </c>
      <c r="F213" s="414">
        <v>0</v>
      </c>
      <c r="G213" s="414">
        <v>0</v>
      </c>
      <c r="H213" s="414">
        <v>0</v>
      </c>
      <c r="I213" s="414">
        <v>0</v>
      </c>
      <c r="J213" s="415">
        <v>3.1573200218391701E-3</v>
      </c>
      <c r="K213" s="415">
        <v>0</v>
      </c>
      <c r="L213" s="414">
        <v>0</v>
      </c>
      <c r="M213" s="414">
        <v>0</v>
      </c>
      <c r="N213" s="414">
        <v>0</v>
      </c>
      <c r="O213" s="415">
        <v>0</v>
      </c>
      <c r="P213" s="415">
        <v>0</v>
      </c>
      <c r="Q213" s="414">
        <v>0</v>
      </c>
      <c r="R213" s="415">
        <v>0</v>
      </c>
      <c r="S213" s="415">
        <v>0</v>
      </c>
      <c r="T213" s="415">
        <v>0</v>
      </c>
      <c r="U213" s="415">
        <v>3.1573200218391701E-3</v>
      </c>
      <c r="V213" s="421"/>
    </row>
    <row r="214" spans="1:22">
      <c r="A214" s="416"/>
      <c r="B214" s="417" t="s">
        <v>615</v>
      </c>
      <c r="C214" s="418">
        <v>4.1212943825770431E-3</v>
      </c>
      <c r="D214" s="419">
        <v>0</v>
      </c>
      <c r="E214" s="419">
        <v>1.7813510360040733E-4</v>
      </c>
      <c r="F214" s="419">
        <v>0</v>
      </c>
      <c r="G214" s="419">
        <v>0</v>
      </c>
      <c r="H214" s="419">
        <v>0</v>
      </c>
      <c r="I214" s="419">
        <v>0</v>
      </c>
      <c r="J214" s="420">
        <v>2.1010743172261001E-3</v>
      </c>
      <c r="K214" s="420">
        <v>0</v>
      </c>
      <c r="L214" s="419">
        <v>0</v>
      </c>
      <c r="M214" s="419">
        <v>0</v>
      </c>
      <c r="N214" s="419">
        <v>0</v>
      </c>
      <c r="O214" s="420">
        <v>0</v>
      </c>
      <c r="P214" s="420">
        <v>0</v>
      </c>
      <c r="Q214" s="419">
        <v>0</v>
      </c>
      <c r="R214" s="420">
        <v>0</v>
      </c>
      <c r="S214" s="420">
        <v>0</v>
      </c>
      <c r="T214" s="420">
        <v>0</v>
      </c>
      <c r="U214" s="420">
        <v>2.1010743172261001E-3</v>
      </c>
      <c r="V214" s="421"/>
    </row>
    <row r="215" spans="1:22">
      <c r="A215" s="416"/>
      <c r="B215" s="422" t="s">
        <v>616</v>
      </c>
      <c r="C215" s="423">
        <v>0</v>
      </c>
      <c r="D215" s="424">
        <v>0</v>
      </c>
      <c r="E215" s="424">
        <v>-0.6366773836796944</v>
      </c>
      <c r="F215" s="424">
        <v>0</v>
      </c>
      <c r="G215" s="424">
        <v>0</v>
      </c>
      <c r="H215" s="424">
        <v>0</v>
      </c>
      <c r="I215" s="424">
        <v>0</v>
      </c>
      <c r="J215" s="426">
        <v>-0.10562457046130701</v>
      </c>
      <c r="K215" s="426">
        <v>0</v>
      </c>
      <c r="L215" s="424">
        <v>0</v>
      </c>
      <c r="M215" s="424">
        <v>0</v>
      </c>
      <c r="N215" s="424">
        <v>0</v>
      </c>
      <c r="O215" s="426">
        <v>0</v>
      </c>
      <c r="P215" s="426">
        <v>0</v>
      </c>
      <c r="Q215" s="424">
        <v>0</v>
      </c>
      <c r="R215" s="426">
        <v>0</v>
      </c>
      <c r="S215" s="426">
        <v>0</v>
      </c>
      <c r="T215" s="426">
        <v>0</v>
      </c>
      <c r="U215" s="426">
        <v>-0.10562457046130701</v>
      </c>
      <c r="V215" s="421"/>
    </row>
    <row r="216" spans="1:22">
      <c r="A216" s="416"/>
      <c r="B216" s="394" t="s">
        <v>617</v>
      </c>
      <c r="C216" s="413">
        <v>1.7254414203492342E-3</v>
      </c>
      <c r="D216" s="414">
        <v>0</v>
      </c>
      <c r="E216" s="414">
        <v>5.82057119205298E-5</v>
      </c>
      <c r="F216" s="414">
        <v>0</v>
      </c>
      <c r="G216" s="414">
        <v>0</v>
      </c>
      <c r="H216" s="414">
        <v>0</v>
      </c>
      <c r="I216" s="414">
        <v>0</v>
      </c>
      <c r="J216" s="415">
        <v>9.1100538179549181E-4</v>
      </c>
      <c r="K216" s="415">
        <v>0</v>
      </c>
      <c r="L216" s="414">
        <v>0</v>
      </c>
      <c r="M216" s="414">
        <v>0</v>
      </c>
      <c r="N216" s="414">
        <v>0</v>
      </c>
      <c r="O216" s="415">
        <v>0</v>
      </c>
      <c r="P216" s="415">
        <v>0</v>
      </c>
      <c r="Q216" s="414">
        <v>0</v>
      </c>
      <c r="R216" s="415">
        <v>0</v>
      </c>
      <c r="S216" s="415">
        <v>0</v>
      </c>
      <c r="T216" s="415">
        <v>0</v>
      </c>
      <c r="U216" s="415">
        <v>9.1100538179549181E-4</v>
      </c>
      <c r="V216" s="421"/>
    </row>
    <row r="217" spans="1:22">
      <c r="A217" s="416"/>
      <c r="B217" s="417" t="s">
        <v>618</v>
      </c>
      <c r="C217" s="418">
        <v>0</v>
      </c>
      <c r="D217" s="419">
        <v>0</v>
      </c>
      <c r="E217" s="419">
        <v>2.084180712124766E-3</v>
      </c>
      <c r="F217" s="419">
        <v>0</v>
      </c>
      <c r="G217" s="419">
        <v>0</v>
      </c>
      <c r="H217" s="419">
        <v>0</v>
      </c>
      <c r="I217" s="419">
        <v>0</v>
      </c>
      <c r="J217" s="420">
        <v>1.0565574288629817E-3</v>
      </c>
      <c r="K217" s="420">
        <v>0</v>
      </c>
      <c r="L217" s="419">
        <v>0</v>
      </c>
      <c r="M217" s="419">
        <v>0</v>
      </c>
      <c r="N217" s="419">
        <v>0</v>
      </c>
      <c r="O217" s="420">
        <v>0</v>
      </c>
      <c r="P217" s="420">
        <v>0</v>
      </c>
      <c r="Q217" s="419">
        <v>0</v>
      </c>
      <c r="R217" s="420">
        <v>0</v>
      </c>
      <c r="S217" s="420">
        <v>0</v>
      </c>
      <c r="T217" s="420">
        <v>0</v>
      </c>
      <c r="U217" s="420">
        <v>1.0565574288629817E-3</v>
      </c>
      <c r="V217" s="421"/>
    </row>
    <row r="218" spans="1:22">
      <c r="A218" s="416"/>
      <c r="B218" s="422" t="s">
        <v>619</v>
      </c>
      <c r="C218" s="423">
        <v>-0.17254414203492344</v>
      </c>
      <c r="D218" s="424">
        <v>0</v>
      </c>
      <c r="E218" s="424">
        <v>0.20259750002042362</v>
      </c>
      <c r="F218" s="424">
        <v>0</v>
      </c>
      <c r="G218" s="424">
        <v>0</v>
      </c>
      <c r="H218" s="424">
        <v>0</v>
      </c>
      <c r="I218" s="424">
        <v>0</v>
      </c>
      <c r="J218" s="426">
        <v>1.4555204706748984E-2</v>
      </c>
      <c r="K218" s="426">
        <v>0</v>
      </c>
      <c r="L218" s="424">
        <v>0</v>
      </c>
      <c r="M218" s="424">
        <v>0</v>
      </c>
      <c r="N218" s="424">
        <v>0</v>
      </c>
      <c r="O218" s="426">
        <v>0</v>
      </c>
      <c r="P218" s="426">
        <v>0</v>
      </c>
      <c r="Q218" s="424">
        <v>0</v>
      </c>
      <c r="R218" s="426">
        <v>0</v>
      </c>
      <c r="S218" s="426">
        <v>0</v>
      </c>
      <c r="T218" s="426">
        <v>0</v>
      </c>
      <c r="U218" s="426">
        <v>1.4555204706748984E-2</v>
      </c>
      <c r="V218" s="421"/>
    </row>
    <row r="219" spans="1:22">
      <c r="A219" s="416"/>
      <c r="B219" s="394" t="s">
        <v>620</v>
      </c>
      <c r="C219" s="413">
        <v>0</v>
      </c>
      <c r="D219" s="414">
        <v>0</v>
      </c>
      <c r="E219" s="414">
        <v>0</v>
      </c>
      <c r="F219" s="414">
        <v>0</v>
      </c>
      <c r="G219" s="414">
        <v>0</v>
      </c>
      <c r="H219" s="414">
        <v>0</v>
      </c>
      <c r="I219" s="414">
        <v>0</v>
      </c>
      <c r="J219" s="415">
        <v>0</v>
      </c>
      <c r="K219" s="415">
        <v>0</v>
      </c>
      <c r="L219" s="414">
        <v>0</v>
      </c>
      <c r="M219" s="414">
        <v>0</v>
      </c>
      <c r="N219" s="414">
        <v>0</v>
      </c>
      <c r="O219" s="415">
        <v>0</v>
      </c>
      <c r="P219" s="415">
        <v>0</v>
      </c>
      <c r="Q219" s="414">
        <v>0</v>
      </c>
      <c r="R219" s="415">
        <v>0</v>
      </c>
      <c r="S219" s="415">
        <v>0</v>
      </c>
      <c r="T219" s="415">
        <v>0</v>
      </c>
      <c r="U219" s="415">
        <v>0</v>
      </c>
      <c r="V219" s="421"/>
    </row>
    <row r="220" spans="1:22">
      <c r="A220" s="416"/>
      <c r="B220" s="417" t="s">
        <v>621</v>
      </c>
      <c r="C220" s="418">
        <v>0</v>
      </c>
      <c r="D220" s="419">
        <v>0</v>
      </c>
      <c r="E220" s="419">
        <v>0</v>
      </c>
      <c r="F220" s="419">
        <v>0</v>
      </c>
      <c r="G220" s="419">
        <v>0</v>
      </c>
      <c r="H220" s="419">
        <v>0</v>
      </c>
      <c r="I220" s="419">
        <v>0</v>
      </c>
      <c r="J220" s="420">
        <v>0</v>
      </c>
      <c r="K220" s="420">
        <v>0</v>
      </c>
      <c r="L220" s="419">
        <v>0</v>
      </c>
      <c r="M220" s="419">
        <v>0</v>
      </c>
      <c r="N220" s="419">
        <v>0</v>
      </c>
      <c r="O220" s="420">
        <v>0</v>
      </c>
      <c r="P220" s="420">
        <v>0</v>
      </c>
      <c r="Q220" s="419">
        <v>0</v>
      </c>
      <c r="R220" s="420">
        <v>0</v>
      </c>
      <c r="S220" s="420">
        <v>0</v>
      </c>
      <c r="T220" s="420">
        <v>0</v>
      </c>
      <c r="U220" s="420">
        <v>0</v>
      </c>
      <c r="V220" s="421"/>
    </row>
    <row r="221" spans="1:22" ht="15" thickBot="1">
      <c r="A221" s="432"/>
      <c r="B221" s="433" t="s">
        <v>622</v>
      </c>
      <c r="C221" s="434">
        <v>0</v>
      </c>
      <c r="D221" s="435">
        <v>0</v>
      </c>
      <c r="E221" s="435">
        <v>0</v>
      </c>
      <c r="F221" s="435">
        <v>0</v>
      </c>
      <c r="G221" s="435">
        <v>0</v>
      </c>
      <c r="H221" s="435">
        <v>0</v>
      </c>
      <c r="I221" s="435">
        <v>0</v>
      </c>
      <c r="J221" s="436">
        <v>0</v>
      </c>
      <c r="K221" s="436">
        <v>0</v>
      </c>
      <c r="L221" s="435">
        <v>0</v>
      </c>
      <c r="M221" s="435">
        <v>0</v>
      </c>
      <c r="N221" s="435">
        <v>0</v>
      </c>
      <c r="O221" s="436">
        <v>0</v>
      </c>
      <c r="P221" s="436">
        <v>0</v>
      </c>
      <c r="Q221" s="435">
        <v>0</v>
      </c>
      <c r="R221" s="436">
        <v>0</v>
      </c>
      <c r="S221" s="436">
        <v>0</v>
      </c>
      <c r="T221" s="436">
        <v>0</v>
      </c>
      <c r="U221" s="436">
        <v>0</v>
      </c>
      <c r="V221" s="421"/>
    </row>
    <row r="222" spans="1:22">
      <c r="A222" s="412" t="s">
        <v>216</v>
      </c>
      <c r="B222" s="394" t="s">
        <v>587</v>
      </c>
      <c r="C222" s="413">
        <v>0.96402877697841716</v>
      </c>
      <c r="D222" s="414">
        <v>0.87177835651346647</v>
      </c>
      <c r="E222" s="414">
        <v>0.80504178027306994</v>
      </c>
      <c r="F222" s="414">
        <v>0.72404022869385209</v>
      </c>
      <c r="G222" s="414">
        <v>0.85860655737704905</v>
      </c>
      <c r="H222" s="414">
        <v>0.62472727272727302</v>
      </c>
      <c r="I222" s="414">
        <v>0</v>
      </c>
      <c r="J222" s="415">
        <v>0.84046850485491742</v>
      </c>
      <c r="K222" s="415">
        <v>0</v>
      </c>
      <c r="L222" s="414">
        <v>0.81872403362248847</v>
      </c>
      <c r="M222" s="414">
        <v>0.75493043213809952</v>
      </c>
      <c r="N222" s="414">
        <v>0.73416646713265354</v>
      </c>
      <c r="O222" s="415">
        <v>0.77871986602603194</v>
      </c>
      <c r="P222" s="415">
        <v>0.79290092679830848</v>
      </c>
      <c r="Q222" s="414">
        <v>0.99903288201160534</v>
      </c>
      <c r="R222" s="415">
        <v>0.81208959974508432</v>
      </c>
      <c r="S222" s="415">
        <v>0</v>
      </c>
      <c r="T222" s="415">
        <v>0</v>
      </c>
      <c r="U222" s="415">
        <v>0.82422141795929638</v>
      </c>
      <c r="V222" s="421"/>
    </row>
    <row r="223" spans="1:22">
      <c r="A223" s="416"/>
      <c r="B223" s="417" t="s">
        <v>588</v>
      </c>
      <c r="C223" s="418">
        <v>0.95404364569961475</v>
      </c>
      <c r="D223" s="419">
        <v>0.85959798666307607</v>
      </c>
      <c r="E223" s="419">
        <v>0.80049235654900985</v>
      </c>
      <c r="F223" s="419">
        <v>0.71406043246528883</v>
      </c>
      <c r="G223" s="419">
        <v>0.69724025974025972</v>
      </c>
      <c r="H223" s="419">
        <v>0.58268275372604728</v>
      </c>
      <c r="I223" s="419">
        <v>0</v>
      </c>
      <c r="J223" s="420">
        <v>0.82814677764193578</v>
      </c>
      <c r="K223" s="420">
        <v>0</v>
      </c>
      <c r="L223" s="419">
        <v>0.78935082041697913</v>
      </c>
      <c r="M223" s="419">
        <v>0.71253604937818038</v>
      </c>
      <c r="N223" s="419">
        <v>0.71289192199535401</v>
      </c>
      <c r="O223" s="420">
        <v>0.74503353362399716</v>
      </c>
      <c r="P223" s="420">
        <v>0.77956433033077188</v>
      </c>
      <c r="Q223" s="419">
        <v>0.99392712550607287</v>
      </c>
      <c r="R223" s="420">
        <v>0.79975754359433082</v>
      </c>
      <c r="S223" s="420">
        <v>0</v>
      </c>
      <c r="T223" s="420">
        <v>0</v>
      </c>
      <c r="U223" s="420">
        <v>0.80663815322686028</v>
      </c>
      <c r="V223" s="421"/>
    </row>
    <row r="224" spans="1:22">
      <c r="A224" s="416"/>
      <c r="B224" s="422" t="s">
        <v>589</v>
      </c>
      <c r="C224" s="423">
        <v>-0.9985131278802406</v>
      </c>
      <c r="D224" s="424">
        <v>-1.2180369850390393</v>
      </c>
      <c r="E224" s="424">
        <v>-0.45494237240600865</v>
      </c>
      <c r="F224" s="424">
        <v>-0.99797962285632646</v>
      </c>
      <c r="G224" s="424">
        <v>-16.136629763678933</v>
      </c>
      <c r="H224" s="424">
        <v>-4.2044519001225744</v>
      </c>
      <c r="I224" s="424">
        <v>0</v>
      </c>
      <c r="J224" s="426">
        <v>-1.2321727212981637</v>
      </c>
      <c r="K224" s="426">
        <v>0</v>
      </c>
      <c r="L224" s="424">
        <v>-2.9373213205509341</v>
      </c>
      <c r="M224" s="424">
        <v>-4.2394382759919136</v>
      </c>
      <c r="N224" s="424">
        <v>-2.1274545137299539</v>
      </c>
      <c r="O224" s="426">
        <v>-3.368633240203478</v>
      </c>
      <c r="P224" s="426">
        <v>-1.3336596467536599</v>
      </c>
      <c r="Q224" s="424">
        <v>-0.51057565055324661</v>
      </c>
      <c r="R224" s="426">
        <v>-1.2332056150753501</v>
      </c>
      <c r="S224" s="426">
        <v>0</v>
      </c>
      <c r="T224" s="426">
        <v>0</v>
      </c>
      <c r="U224" s="426">
        <v>-1.7583264732436099</v>
      </c>
      <c r="V224" s="421"/>
    </row>
    <row r="225" spans="1:22">
      <c r="A225" s="416"/>
      <c r="B225" s="394" t="s">
        <v>590</v>
      </c>
      <c r="C225" s="413">
        <v>0</v>
      </c>
      <c r="D225" s="414">
        <v>0</v>
      </c>
      <c r="E225" s="414">
        <v>0</v>
      </c>
      <c r="F225" s="414">
        <v>0</v>
      </c>
      <c r="G225" s="414">
        <v>0</v>
      </c>
      <c r="H225" s="414">
        <v>0</v>
      </c>
      <c r="I225" s="414">
        <v>0</v>
      </c>
      <c r="J225" s="415">
        <v>0</v>
      </c>
      <c r="K225" s="415">
        <v>0</v>
      </c>
      <c r="L225" s="414">
        <v>0</v>
      </c>
      <c r="M225" s="414">
        <v>0</v>
      </c>
      <c r="N225" s="414">
        <v>0</v>
      </c>
      <c r="O225" s="415">
        <v>0</v>
      </c>
      <c r="P225" s="415">
        <v>0</v>
      </c>
      <c r="Q225" s="414">
        <v>0</v>
      </c>
      <c r="R225" s="415">
        <v>0</v>
      </c>
      <c r="S225" s="415">
        <v>0</v>
      </c>
      <c r="T225" s="415">
        <v>0</v>
      </c>
      <c r="U225" s="415">
        <v>0</v>
      </c>
      <c r="V225" s="421"/>
    </row>
    <row r="226" spans="1:22">
      <c r="A226" s="416"/>
      <c r="B226" s="417" t="s">
        <v>591</v>
      </c>
      <c r="C226" s="418">
        <v>0</v>
      </c>
      <c r="D226" s="419">
        <v>0</v>
      </c>
      <c r="E226" s="419">
        <v>0</v>
      </c>
      <c r="F226" s="419">
        <v>0</v>
      </c>
      <c r="G226" s="419">
        <v>0</v>
      </c>
      <c r="H226" s="419">
        <v>0</v>
      </c>
      <c r="I226" s="419">
        <v>0</v>
      </c>
      <c r="J226" s="420">
        <v>0</v>
      </c>
      <c r="K226" s="420">
        <v>0</v>
      </c>
      <c r="L226" s="419">
        <v>0</v>
      </c>
      <c r="M226" s="419">
        <v>0</v>
      </c>
      <c r="N226" s="419">
        <v>0</v>
      </c>
      <c r="O226" s="420">
        <v>0</v>
      </c>
      <c r="P226" s="420">
        <v>0</v>
      </c>
      <c r="Q226" s="419">
        <v>0</v>
      </c>
      <c r="R226" s="420">
        <v>0</v>
      </c>
      <c r="S226" s="420">
        <v>0</v>
      </c>
      <c r="T226" s="420">
        <v>0</v>
      </c>
      <c r="U226" s="420">
        <v>0</v>
      </c>
      <c r="V226" s="421"/>
    </row>
    <row r="227" spans="1:22">
      <c r="A227" s="416"/>
      <c r="B227" s="422" t="s">
        <v>592</v>
      </c>
      <c r="C227" s="423">
        <v>0</v>
      </c>
      <c r="D227" s="424">
        <v>0</v>
      </c>
      <c r="E227" s="424">
        <v>0</v>
      </c>
      <c r="F227" s="424">
        <v>0</v>
      </c>
      <c r="G227" s="424">
        <v>0</v>
      </c>
      <c r="H227" s="424">
        <v>0</v>
      </c>
      <c r="I227" s="424">
        <v>0</v>
      </c>
      <c r="J227" s="426">
        <v>0</v>
      </c>
      <c r="K227" s="426">
        <v>0</v>
      </c>
      <c r="L227" s="424">
        <v>0</v>
      </c>
      <c r="M227" s="424">
        <v>0</v>
      </c>
      <c r="N227" s="424">
        <v>0</v>
      </c>
      <c r="O227" s="426">
        <v>0</v>
      </c>
      <c r="P227" s="426">
        <v>0</v>
      </c>
      <c r="Q227" s="424">
        <v>0</v>
      </c>
      <c r="R227" s="426">
        <v>0</v>
      </c>
      <c r="S227" s="426">
        <v>0</v>
      </c>
      <c r="T227" s="426">
        <v>0</v>
      </c>
      <c r="U227" s="426">
        <v>0</v>
      </c>
      <c r="V227" s="421"/>
    </row>
    <row r="228" spans="1:22">
      <c r="A228" s="416"/>
      <c r="B228" s="394" t="s">
        <v>593</v>
      </c>
      <c r="C228" s="413">
        <v>3.5971223021582802E-2</v>
      </c>
      <c r="D228" s="414">
        <v>0.1282216434865335</v>
      </c>
      <c r="E228" s="414">
        <v>0.19495821972693</v>
      </c>
      <c r="F228" s="414">
        <v>0.27595977130614802</v>
      </c>
      <c r="G228" s="414">
        <v>0.14139344262295087</v>
      </c>
      <c r="H228" s="414">
        <v>0.37527272727272704</v>
      </c>
      <c r="I228" s="414">
        <v>0</v>
      </c>
      <c r="J228" s="415">
        <v>0.15953149514508252</v>
      </c>
      <c r="K228" s="415">
        <v>0</v>
      </c>
      <c r="L228" s="414">
        <v>0.18127596637751162</v>
      </c>
      <c r="M228" s="414">
        <v>0.24506956786190034</v>
      </c>
      <c r="N228" s="414">
        <v>0.26583353286734651</v>
      </c>
      <c r="O228" s="415">
        <v>0.22128013397396809</v>
      </c>
      <c r="P228" s="415">
        <v>0.20709907320169166</v>
      </c>
      <c r="Q228" s="414">
        <v>9.671179883945836E-4</v>
      </c>
      <c r="R228" s="415">
        <v>0.18791040025491568</v>
      </c>
      <c r="S228" s="415">
        <v>0</v>
      </c>
      <c r="T228" s="415">
        <v>0</v>
      </c>
      <c r="U228" s="415">
        <v>0.17577858204070346</v>
      </c>
      <c r="V228" s="421"/>
    </row>
    <row r="229" spans="1:22">
      <c r="A229" s="416"/>
      <c r="B229" s="417" t="s">
        <v>594</v>
      </c>
      <c r="C229" s="418">
        <v>4.5956354300385173E-2</v>
      </c>
      <c r="D229" s="419">
        <v>0.1404020133369239</v>
      </c>
      <c r="E229" s="419">
        <v>0.1995076434509902</v>
      </c>
      <c r="F229" s="419">
        <v>0.28593956753471123</v>
      </c>
      <c r="G229" s="419">
        <v>0.30275974025974028</v>
      </c>
      <c r="H229" s="419">
        <v>0.41731724627395284</v>
      </c>
      <c r="I229" s="419">
        <v>0</v>
      </c>
      <c r="J229" s="420">
        <v>0.17185322235806394</v>
      </c>
      <c r="K229" s="420">
        <v>0</v>
      </c>
      <c r="L229" s="419">
        <v>0.2106491795830209</v>
      </c>
      <c r="M229" s="419">
        <v>0.28746395062181967</v>
      </c>
      <c r="N229" s="419">
        <v>0.28710807800464605</v>
      </c>
      <c r="O229" s="420">
        <v>0.2549664663760029</v>
      </c>
      <c r="P229" s="420">
        <v>0.22043566966922803</v>
      </c>
      <c r="Q229" s="419">
        <v>6.0728744939271273E-3</v>
      </c>
      <c r="R229" s="420">
        <v>0.20024245640566907</v>
      </c>
      <c r="S229" s="420">
        <v>0</v>
      </c>
      <c r="T229" s="420">
        <v>0</v>
      </c>
      <c r="U229" s="420">
        <v>0.19336184677313956</v>
      </c>
      <c r="V229" s="421"/>
    </row>
    <row r="230" spans="1:22">
      <c r="A230" s="416"/>
      <c r="B230" s="422" t="s">
        <v>595</v>
      </c>
      <c r="C230" s="423">
        <v>0.99851312788023716</v>
      </c>
      <c r="D230" s="424">
        <v>1.2180369850390393</v>
      </c>
      <c r="E230" s="424">
        <v>0.45494237240601976</v>
      </c>
      <c r="F230" s="424">
        <v>0.99797962285632091</v>
      </c>
      <c r="G230" s="424">
        <v>16.136629763678943</v>
      </c>
      <c r="H230" s="424">
        <v>4.2044519001225797</v>
      </c>
      <c r="I230" s="424">
        <v>0</v>
      </c>
      <c r="J230" s="426">
        <v>1.2321727212981415</v>
      </c>
      <c r="K230" s="426">
        <v>0</v>
      </c>
      <c r="L230" s="424">
        <v>2.9373213205509288</v>
      </c>
      <c r="M230" s="424">
        <v>4.2394382759919331</v>
      </c>
      <c r="N230" s="424">
        <v>2.1274545137299539</v>
      </c>
      <c r="O230" s="426">
        <v>3.3686332402034806</v>
      </c>
      <c r="P230" s="426">
        <v>1.3336596467536377</v>
      </c>
      <c r="Q230" s="424">
        <v>0.51057565055325438</v>
      </c>
      <c r="R230" s="426">
        <v>1.233205615075339</v>
      </c>
      <c r="S230" s="426">
        <v>0</v>
      </c>
      <c r="T230" s="426">
        <v>0</v>
      </c>
      <c r="U230" s="426">
        <v>1.7583264732436099</v>
      </c>
      <c r="V230" s="421"/>
    </row>
    <row r="231" spans="1:22">
      <c r="A231" s="416"/>
      <c r="B231" s="394" t="s">
        <v>596</v>
      </c>
      <c r="C231" s="413">
        <v>0</v>
      </c>
      <c r="D231" s="414">
        <v>0</v>
      </c>
      <c r="E231" s="414">
        <v>0</v>
      </c>
      <c r="F231" s="414">
        <v>0</v>
      </c>
      <c r="G231" s="414">
        <v>0</v>
      </c>
      <c r="H231" s="414">
        <v>0</v>
      </c>
      <c r="I231" s="414">
        <v>0</v>
      </c>
      <c r="J231" s="415">
        <v>0</v>
      </c>
      <c r="K231" s="415">
        <v>0</v>
      </c>
      <c r="L231" s="414">
        <v>0</v>
      </c>
      <c r="M231" s="414">
        <v>0</v>
      </c>
      <c r="N231" s="414">
        <v>0</v>
      </c>
      <c r="O231" s="415">
        <v>0</v>
      </c>
      <c r="P231" s="415">
        <v>0</v>
      </c>
      <c r="Q231" s="414">
        <v>0</v>
      </c>
      <c r="R231" s="415">
        <v>0</v>
      </c>
      <c r="S231" s="415">
        <v>0</v>
      </c>
      <c r="T231" s="415">
        <v>0</v>
      </c>
      <c r="U231" s="415">
        <v>0</v>
      </c>
      <c r="V231" s="421"/>
    </row>
    <row r="232" spans="1:22">
      <c r="A232" s="416"/>
      <c r="B232" s="417" t="s">
        <v>597</v>
      </c>
      <c r="C232" s="418">
        <v>0</v>
      </c>
      <c r="D232" s="419">
        <v>0</v>
      </c>
      <c r="E232" s="419">
        <v>0</v>
      </c>
      <c r="F232" s="419">
        <v>0</v>
      </c>
      <c r="G232" s="419">
        <v>0</v>
      </c>
      <c r="H232" s="419">
        <v>0</v>
      </c>
      <c r="I232" s="419">
        <v>0</v>
      </c>
      <c r="J232" s="420">
        <v>0</v>
      </c>
      <c r="K232" s="420">
        <v>0</v>
      </c>
      <c r="L232" s="419">
        <v>0</v>
      </c>
      <c r="M232" s="419">
        <v>0</v>
      </c>
      <c r="N232" s="419">
        <v>0</v>
      </c>
      <c r="O232" s="420">
        <v>0</v>
      </c>
      <c r="P232" s="420">
        <v>0</v>
      </c>
      <c r="Q232" s="419">
        <v>0</v>
      </c>
      <c r="R232" s="420">
        <v>0</v>
      </c>
      <c r="S232" s="420">
        <v>0</v>
      </c>
      <c r="T232" s="420">
        <v>0</v>
      </c>
      <c r="U232" s="420">
        <v>0</v>
      </c>
      <c r="V232" s="421"/>
    </row>
    <row r="233" spans="1:22">
      <c r="A233" s="416"/>
      <c r="B233" s="422" t="s">
        <v>598</v>
      </c>
      <c r="C233" s="423">
        <v>0</v>
      </c>
      <c r="D233" s="424">
        <v>0</v>
      </c>
      <c r="E233" s="424">
        <v>0</v>
      </c>
      <c r="F233" s="424">
        <v>0</v>
      </c>
      <c r="G233" s="424">
        <v>0</v>
      </c>
      <c r="H233" s="424">
        <v>0</v>
      </c>
      <c r="I233" s="424">
        <v>0</v>
      </c>
      <c r="J233" s="426">
        <v>0</v>
      </c>
      <c r="K233" s="426">
        <v>0</v>
      </c>
      <c r="L233" s="424">
        <v>0</v>
      </c>
      <c r="M233" s="424">
        <v>0</v>
      </c>
      <c r="N233" s="424">
        <v>0</v>
      </c>
      <c r="O233" s="426">
        <v>0</v>
      </c>
      <c r="P233" s="426">
        <v>0</v>
      </c>
      <c r="Q233" s="424">
        <v>0</v>
      </c>
      <c r="R233" s="426">
        <v>0</v>
      </c>
      <c r="S233" s="426">
        <v>0</v>
      </c>
      <c r="T233" s="426">
        <v>0</v>
      </c>
      <c r="U233" s="426">
        <v>0</v>
      </c>
      <c r="V233" s="421"/>
    </row>
    <row r="234" spans="1:22">
      <c r="A234" s="416"/>
      <c r="B234" s="394" t="s">
        <v>599</v>
      </c>
      <c r="C234" s="413">
        <v>0</v>
      </c>
      <c r="D234" s="414">
        <v>0</v>
      </c>
      <c r="E234" s="414">
        <v>0</v>
      </c>
      <c r="F234" s="414">
        <v>0</v>
      </c>
      <c r="G234" s="414">
        <v>0</v>
      </c>
      <c r="H234" s="414">
        <v>0</v>
      </c>
      <c r="I234" s="414">
        <v>0</v>
      </c>
      <c r="J234" s="415">
        <v>0</v>
      </c>
      <c r="K234" s="415">
        <v>0</v>
      </c>
      <c r="L234" s="414">
        <v>0</v>
      </c>
      <c r="M234" s="414">
        <v>0</v>
      </c>
      <c r="N234" s="414">
        <v>0</v>
      </c>
      <c r="O234" s="415">
        <v>0</v>
      </c>
      <c r="P234" s="415">
        <v>0</v>
      </c>
      <c r="Q234" s="414">
        <v>0</v>
      </c>
      <c r="R234" s="415">
        <v>0</v>
      </c>
      <c r="S234" s="415">
        <v>0</v>
      </c>
      <c r="T234" s="415">
        <v>0</v>
      </c>
      <c r="U234" s="415">
        <v>0</v>
      </c>
      <c r="V234" s="421"/>
    </row>
    <row r="235" spans="1:22">
      <c r="A235" s="416"/>
      <c r="B235" s="417" t="s">
        <v>600</v>
      </c>
      <c r="C235" s="418">
        <v>0</v>
      </c>
      <c r="D235" s="419">
        <v>0</v>
      </c>
      <c r="E235" s="419">
        <v>0</v>
      </c>
      <c r="F235" s="419">
        <v>0</v>
      </c>
      <c r="G235" s="419">
        <v>0</v>
      </c>
      <c r="H235" s="419">
        <v>0</v>
      </c>
      <c r="I235" s="419">
        <v>0</v>
      </c>
      <c r="J235" s="420">
        <v>0</v>
      </c>
      <c r="K235" s="420">
        <v>0</v>
      </c>
      <c r="L235" s="419">
        <v>0</v>
      </c>
      <c r="M235" s="419">
        <v>0</v>
      </c>
      <c r="N235" s="419">
        <v>0</v>
      </c>
      <c r="O235" s="420">
        <v>0</v>
      </c>
      <c r="P235" s="420">
        <v>0</v>
      </c>
      <c r="Q235" s="419">
        <v>0</v>
      </c>
      <c r="R235" s="420">
        <v>0</v>
      </c>
      <c r="S235" s="420">
        <v>0</v>
      </c>
      <c r="T235" s="420">
        <v>0</v>
      </c>
      <c r="U235" s="420">
        <v>0</v>
      </c>
      <c r="V235" s="421"/>
    </row>
    <row r="236" spans="1:22">
      <c r="A236" s="416"/>
      <c r="B236" s="422" t="s">
        <v>601</v>
      </c>
      <c r="C236" s="423">
        <v>0</v>
      </c>
      <c r="D236" s="424">
        <v>0</v>
      </c>
      <c r="E236" s="424">
        <v>0</v>
      </c>
      <c r="F236" s="424">
        <v>0</v>
      </c>
      <c r="G236" s="424">
        <v>0</v>
      </c>
      <c r="H236" s="424">
        <v>0</v>
      </c>
      <c r="I236" s="424">
        <v>0</v>
      </c>
      <c r="J236" s="426">
        <v>0</v>
      </c>
      <c r="K236" s="426">
        <v>0</v>
      </c>
      <c r="L236" s="424">
        <v>0</v>
      </c>
      <c r="M236" s="424">
        <v>0</v>
      </c>
      <c r="N236" s="424">
        <v>0</v>
      </c>
      <c r="O236" s="426">
        <v>0</v>
      </c>
      <c r="P236" s="426">
        <v>0</v>
      </c>
      <c r="Q236" s="424">
        <v>0</v>
      </c>
      <c r="R236" s="426">
        <v>0</v>
      </c>
      <c r="S236" s="426">
        <v>0</v>
      </c>
      <c r="T236" s="426">
        <v>0</v>
      </c>
      <c r="U236" s="426">
        <v>0</v>
      </c>
      <c r="V236" s="421"/>
    </row>
    <row r="237" spans="1:22">
      <c r="A237" s="416"/>
      <c r="B237" s="394" t="s">
        <v>602</v>
      </c>
      <c r="C237" s="413">
        <v>0</v>
      </c>
      <c r="D237" s="414">
        <v>0</v>
      </c>
      <c r="E237" s="414">
        <v>0</v>
      </c>
      <c r="F237" s="414">
        <v>0</v>
      </c>
      <c r="G237" s="414">
        <v>0</v>
      </c>
      <c r="H237" s="414">
        <v>0</v>
      </c>
      <c r="I237" s="414">
        <v>0</v>
      </c>
      <c r="J237" s="415">
        <v>0</v>
      </c>
      <c r="K237" s="415">
        <v>0</v>
      </c>
      <c r="L237" s="414">
        <v>0</v>
      </c>
      <c r="M237" s="414">
        <v>0</v>
      </c>
      <c r="N237" s="414">
        <v>0</v>
      </c>
      <c r="O237" s="415">
        <v>0</v>
      </c>
      <c r="P237" s="415">
        <v>0</v>
      </c>
      <c r="Q237" s="414">
        <v>0</v>
      </c>
      <c r="R237" s="415">
        <v>0</v>
      </c>
      <c r="S237" s="415">
        <v>0</v>
      </c>
      <c r="T237" s="415">
        <v>0</v>
      </c>
      <c r="U237" s="415">
        <v>0</v>
      </c>
      <c r="V237" s="421"/>
    </row>
    <row r="238" spans="1:22">
      <c r="A238" s="416"/>
      <c r="B238" s="417" t="s">
        <v>603</v>
      </c>
      <c r="C238" s="418">
        <v>0</v>
      </c>
      <c r="D238" s="419">
        <v>0</v>
      </c>
      <c r="E238" s="419">
        <v>0</v>
      </c>
      <c r="F238" s="419">
        <v>0</v>
      </c>
      <c r="G238" s="419">
        <v>0</v>
      </c>
      <c r="H238" s="419">
        <v>0</v>
      </c>
      <c r="I238" s="419">
        <v>0</v>
      </c>
      <c r="J238" s="420">
        <v>0</v>
      </c>
      <c r="K238" s="420">
        <v>0</v>
      </c>
      <c r="L238" s="419">
        <v>0</v>
      </c>
      <c r="M238" s="419">
        <v>0</v>
      </c>
      <c r="N238" s="419">
        <v>0</v>
      </c>
      <c r="O238" s="420">
        <v>0</v>
      </c>
      <c r="P238" s="420">
        <v>0</v>
      </c>
      <c r="Q238" s="419">
        <v>0</v>
      </c>
      <c r="R238" s="420">
        <v>0</v>
      </c>
      <c r="S238" s="420">
        <v>0</v>
      </c>
      <c r="T238" s="420">
        <v>0</v>
      </c>
      <c r="U238" s="420">
        <v>0</v>
      </c>
      <c r="V238" s="421"/>
    </row>
    <row r="239" spans="1:22" ht="15" thickBot="1">
      <c r="A239" s="416"/>
      <c r="B239" s="428" t="s">
        <v>604</v>
      </c>
      <c r="C239" s="429">
        <v>0</v>
      </c>
      <c r="D239" s="430">
        <v>0</v>
      </c>
      <c r="E239" s="430">
        <v>0</v>
      </c>
      <c r="F239" s="430">
        <v>0</v>
      </c>
      <c r="G239" s="430">
        <v>0</v>
      </c>
      <c r="H239" s="430">
        <v>0</v>
      </c>
      <c r="I239" s="430">
        <v>0</v>
      </c>
      <c r="J239" s="431">
        <v>0</v>
      </c>
      <c r="K239" s="431">
        <v>0</v>
      </c>
      <c r="L239" s="430">
        <v>0</v>
      </c>
      <c r="M239" s="430">
        <v>0</v>
      </c>
      <c r="N239" s="430">
        <v>0</v>
      </c>
      <c r="O239" s="431">
        <v>0</v>
      </c>
      <c r="P239" s="431">
        <v>0</v>
      </c>
      <c r="Q239" s="430">
        <v>0</v>
      </c>
      <c r="R239" s="431">
        <v>0</v>
      </c>
      <c r="S239" s="431">
        <v>0</v>
      </c>
      <c r="T239" s="431">
        <v>0</v>
      </c>
      <c r="U239" s="431">
        <v>0</v>
      </c>
      <c r="V239" s="421"/>
    </row>
    <row r="240" spans="1:22" ht="15" thickTop="1">
      <c r="A240" s="416"/>
      <c r="B240" s="417" t="s">
        <v>605</v>
      </c>
      <c r="C240" s="418">
        <v>0.94141769185705904</v>
      </c>
      <c r="D240" s="419">
        <v>0.82276532530538404</v>
      </c>
      <c r="E240" s="419">
        <v>0.57942735342003415</v>
      </c>
      <c r="F240" s="419">
        <v>0.44201611940657132</v>
      </c>
      <c r="G240" s="419">
        <v>0.86637931034482718</v>
      </c>
      <c r="H240" s="419">
        <v>0</v>
      </c>
      <c r="I240" s="419">
        <v>0.96448663853727146</v>
      </c>
      <c r="J240" s="420">
        <v>0.72327921571220155</v>
      </c>
      <c r="K240" s="420">
        <v>0</v>
      </c>
      <c r="L240" s="419">
        <v>0</v>
      </c>
      <c r="M240" s="419">
        <v>0</v>
      </c>
      <c r="N240" s="419">
        <v>0</v>
      </c>
      <c r="O240" s="420">
        <v>0</v>
      </c>
      <c r="P240" s="420">
        <v>0</v>
      </c>
      <c r="Q240" s="419">
        <v>0</v>
      </c>
      <c r="R240" s="420">
        <v>0</v>
      </c>
      <c r="S240" s="420">
        <v>0</v>
      </c>
      <c r="T240" s="420">
        <v>0</v>
      </c>
      <c r="U240" s="420">
        <v>0.72327921571220155</v>
      </c>
      <c r="V240" s="421"/>
    </row>
    <row r="241" spans="1:22">
      <c r="A241" s="416"/>
      <c r="B241" s="417" t="s">
        <v>606</v>
      </c>
      <c r="C241" s="418">
        <v>0.92662514597119561</v>
      </c>
      <c r="D241" s="419">
        <v>0.79261582929475882</v>
      </c>
      <c r="E241" s="419">
        <v>0.55141201916664151</v>
      </c>
      <c r="F241" s="419">
        <v>0.31247243681149844</v>
      </c>
      <c r="G241" s="419">
        <v>0.73103448275862071</v>
      </c>
      <c r="H241" s="419">
        <v>0</v>
      </c>
      <c r="I241" s="419">
        <v>0.91854058916123227</v>
      </c>
      <c r="J241" s="420">
        <v>0.65388391040216798</v>
      </c>
      <c r="K241" s="420">
        <v>0</v>
      </c>
      <c r="L241" s="419">
        <v>0</v>
      </c>
      <c r="M241" s="419">
        <v>0</v>
      </c>
      <c r="N241" s="419">
        <v>0</v>
      </c>
      <c r="O241" s="420">
        <v>0</v>
      </c>
      <c r="P241" s="420">
        <v>0</v>
      </c>
      <c r="Q241" s="419">
        <v>0</v>
      </c>
      <c r="R241" s="420">
        <v>0</v>
      </c>
      <c r="S241" s="420">
        <v>0</v>
      </c>
      <c r="T241" s="420">
        <v>0</v>
      </c>
      <c r="U241" s="420">
        <v>0.65388391040216798</v>
      </c>
      <c r="V241" s="421"/>
    </row>
    <row r="242" spans="1:22">
      <c r="A242" s="416"/>
      <c r="B242" s="422" t="s">
        <v>607</v>
      </c>
      <c r="C242" s="423">
        <v>-1.4792545885863428</v>
      </c>
      <c r="D242" s="424">
        <v>-3.0149496010625221</v>
      </c>
      <c r="E242" s="424">
        <v>-2.8015334253392643</v>
      </c>
      <c r="F242" s="424">
        <v>-12.954368259507287</v>
      </c>
      <c r="G242" s="424">
        <v>-13.534482758620648</v>
      </c>
      <c r="H242" s="424">
        <v>0</v>
      </c>
      <c r="I242" s="424">
        <v>-4.5946049376039184</v>
      </c>
      <c r="J242" s="426">
        <v>-6.9395305310033573</v>
      </c>
      <c r="K242" s="426">
        <v>0</v>
      </c>
      <c r="L242" s="424">
        <v>0</v>
      </c>
      <c r="M242" s="424">
        <v>0</v>
      </c>
      <c r="N242" s="424">
        <v>0</v>
      </c>
      <c r="O242" s="426">
        <v>0</v>
      </c>
      <c r="P242" s="426">
        <v>0</v>
      </c>
      <c r="Q242" s="424">
        <v>0</v>
      </c>
      <c r="R242" s="426">
        <v>0</v>
      </c>
      <c r="S242" s="426">
        <v>0</v>
      </c>
      <c r="T242" s="426">
        <v>0</v>
      </c>
      <c r="U242" s="426">
        <v>-6.9395305310033573</v>
      </c>
      <c r="V242" s="421"/>
    </row>
    <row r="243" spans="1:22">
      <c r="A243" s="416"/>
      <c r="B243" s="394" t="s">
        <v>608</v>
      </c>
      <c r="C243" s="413">
        <v>0</v>
      </c>
      <c r="D243" s="414">
        <v>0</v>
      </c>
      <c r="E243" s="414">
        <v>0</v>
      </c>
      <c r="F243" s="414">
        <v>0</v>
      </c>
      <c r="G243" s="414">
        <v>0</v>
      </c>
      <c r="H243" s="414">
        <v>0</v>
      </c>
      <c r="I243" s="414">
        <v>0</v>
      </c>
      <c r="J243" s="415">
        <v>0</v>
      </c>
      <c r="K243" s="415">
        <v>0</v>
      </c>
      <c r="L243" s="414">
        <v>0</v>
      </c>
      <c r="M243" s="414">
        <v>0</v>
      </c>
      <c r="N243" s="414">
        <v>0</v>
      </c>
      <c r="O243" s="415">
        <v>0</v>
      </c>
      <c r="P243" s="415">
        <v>0</v>
      </c>
      <c r="Q243" s="414">
        <v>0</v>
      </c>
      <c r="R243" s="415">
        <v>0</v>
      </c>
      <c r="S243" s="415">
        <v>0</v>
      </c>
      <c r="T243" s="415">
        <v>0</v>
      </c>
      <c r="U243" s="415">
        <v>0</v>
      </c>
      <c r="V243" s="421"/>
    </row>
    <row r="244" spans="1:22">
      <c r="A244" s="416"/>
      <c r="B244" s="417" t="s">
        <v>609</v>
      </c>
      <c r="C244" s="418">
        <v>0</v>
      </c>
      <c r="D244" s="419">
        <v>0</v>
      </c>
      <c r="E244" s="419">
        <v>0</v>
      </c>
      <c r="F244" s="419">
        <v>0</v>
      </c>
      <c r="G244" s="419">
        <v>0</v>
      </c>
      <c r="H244" s="419">
        <v>0</v>
      </c>
      <c r="I244" s="419">
        <v>0</v>
      </c>
      <c r="J244" s="420">
        <v>0</v>
      </c>
      <c r="K244" s="420">
        <v>0</v>
      </c>
      <c r="L244" s="419">
        <v>0</v>
      </c>
      <c r="M244" s="419">
        <v>0</v>
      </c>
      <c r="N244" s="419">
        <v>0</v>
      </c>
      <c r="O244" s="420">
        <v>0</v>
      </c>
      <c r="P244" s="420">
        <v>0</v>
      </c>
      <c r="Q244" s="419">
        <v>0</v>
      </c>
      <c r="R244" s="420">
        <v>0</v>
      </c>
      <c r="S244" s="420">
        <v>0</v>
      </c>
      <c r="T244" s="420">
        <v>0</v>
      </c>
      <c r="U244" s="420">
        <v>0</v>
      </c>
      <c r="V244" s="421"/>
    </row>
    <row r="245" spans="1:22">
      <c r="A245" s="416"/>
      <c r="B245" s="422" t="s">
        <v>610</v>
      </c>
      <c r="C245" s="423">
        <v>0</v>
      </c>
      <c r="D245" s="424">
        <v>0</v>
      </c>
      <c r="E245" s="424">
        <v>0</v>
      </c>
      <c r="F245" s="424">
        <v>0</v>
      </c>
      <c r="G245" s="424">
        <v>0</v>
      </c>
      <c r="H245" s="424">
        <v>0</v>
      </c>
      <c r="I245" s="424">
        <v>0</v>
      </c>
      <c r="J245" s="426">
        <v>0</v>
      </c>
      <c r="K245" s="426">
        <v>0</v>
      </c>
      <c r="L245" s="424">
        <v>0</v>
      </c>
      <c r="M245" s="424">
        <v>0</v>
      </c>
      <c r="N245" s="424">
        <v>0</v>
      </c>
      <c r="O245" s="426">
        <v>0</v>
      </c>
      <c r="P245" s="426">
        <v>0</v>
      </c>
      <c r="Q245" s="424">
        <v>0</v>
      </c>
      <c r="R245" s="426">
        <v>0</v>
      </c>
      <c r="S245" s="426">
        <v>0</v>
      </c>
      <c r="T245" s="426">
        <v>0</v>
      </c>
      <c r="U245" s="426">
        <v>0</v>
      </c>
      <c r="V245" s="421"/>
    </row>
    <row r="246" spans="1:22">
      <c r="A246" s="416"/>
      <c r="B246" s="394" t="s">
        <v>611</v>
      </c>
      <c r="C246" s="413">
        <v>5.8582308142940985E-2</v>
      </c>
      <c r="D246" s="414">
        <v>0.17723467469461615</v>
      </c>
      <c r="E246" s="414">
        <v>0.4205726465799659</v>
      </c>
      <c r="F246" s="414">
        <v>0.55798388059342874</v>
      </c>
      <c r="G246" s="414">
        <v>0.13362068965517288</v>
      </c>
      <c r="H246" s="414">
        <v>0</v>
      </c>
      <c r="I246" s="414">
        <v>0</v>
      </c>
      <c r="J246" s="415">
        <v>0.27532551416142959</v>
      </c>
      <c r="K246" s="415">
        <v>0</v>
      </c>
      <c r="L246" s="414">
        <v>0</v>
      </c>
      <c r="M246" s="414">
        <v>0</v>
      </c>
      <c r="N246" s="414">
        <v>0</v>
      </c>
      <c r="O246" s="415">
        <v>0</v>
      </c>
      <c r="P246" s="415">
        <v>0</v>
      </c>
      <c r="Q246" s="414">
        <v>0</v>
      </c>
      <c r="R246" s="415">
        <v>0</v>
      </c>
      <c r="S246" s="415">
        <v>0</v>
      </c>
      <c r="T246" s="415">
        <v>0</v>
      </c>
      <c r="U246" s="415">
        <v>0.27532551416142959</v>
      </c>
      <c r="V246" s="421"/>
    </row>
    <row r="247" spans="1:22">
      <c r="A247" s="416"/>
      <c r="B247" s="417" t="s">
        <v>612</v>
      </c>
      <c r="C247" s="418">
        <v>7.337485402880449E-2</v>
      </c>
      <c r="D247" s="419">
        <v>0.20738417070524107</v>
      </c>
      <c r="E247" s="419">
        <v>0.44858798083335855</v>
      </c>
      <c r="F247" s="419">
        <v>0.68752756318850161</v>
      </c>
      <c r="G247" s="419">
        <v>0.26896551724137935</v>
      </c>
      <c r="H247" s="419">
        <v>0</v>
      </c>
      <c r="I247" s="419">
        <v>8.1459410838767704E-2</v>
      </c>
      <c r="J247" s="420">
        <v>0.34611608959783208</v>
      </c>
      <c r="K247" s="420">
        <v>0</v>
      </c>
      <c r="L247" s="419">
        <v>0</v>
      </c>
      <c r="M247" s="419">
        <v>0</v>
      </c>
      <c r="N247" s="419">
        <v>0</v>
      </c>
      <c r="O247" s="420">
        <v>0</v>
      </c>
      <c r="P247" s="420">
        <v>0</v>
      </c>
      <c r="Q247" s="419">
        <v>0</v>
      </c>
      <c r="R247" s="420">
        <v>0</v>
      </c>
      <c r="S247" s="420">
        <v>0</v>
      </c>
      <c r="T247" s="420">
        <v>0</v>
      </c>
      <c r="U247" s="420">
        <v>0.34611608959783208</v>
      </c>
      <c r="V247" s="421"/>
    </row>
    <row r="248" spans="1:22">
      <c r="A248" s="416"/>
      <c r="B248" s="422" t="s">
        <v>613</v>
      </c>
      <c r="C248" s="423">
        <v>1.4792545885863504</v>
      </c>
      <c r="D248" s="424">
        <v>3.0149496010624914</v>
      </c>
      <c r="E248" s="424">
        <v>2.8015334253392643</v>
      </c>
      <c r="F248" s="424">
        <v>12.954368259507287</v>
      </c>
      <c r="G248" s="424">
        <v>13.534482758620648</v>
      </c>
      <c r="H248" s="424">
        <v>0</v>
      </c>
      <c r="I248" s="424">
        <v>0</v>
      </c>
      <c r="J248" s="426">
        <v>7.079057543640249</v>
      </c>
      <c r="K248" s="426">
        <v>0</v>
      </c>
      <c r="L248" s="424">
        <v>0</v>
      </c>
      <c r="M248" s="424">
        <v>0</v>
      </c>
      <c r="N248" s="424">
        <v>0</v>
      </c>
      <c r="O248" s="426">
        <v>0</v>
      </c>
      <c r="P248" s="426">
        <v>0</v>
      </c>
      <c r="Q248" s="424">
        <v>0</v>
      </c>
      <c r="R248" s="426">
        <v>0</v>
      </c>
      <c r="S248" s="426">
        <v>0</v>
      </c>
      <c r="T248" s="426">
        <v>0</v>
      </c>
      <c r="U248" s="426">
        <v>7.079057543640249</v>
      </c>
      <c r="V248" s="421"/>
    </row>
    <row r="249" spans="1:22">
      <c r="A249" s="416"/>
      <c r="B249" s="394" t="s">
        <v>614</v>
      </c>
      <c r="C249" s="413">
        <v>0</v>
      </c>
      <c r="D249" s="414">
        <v>0</v>
      </c>
      <c r="E249" s="414">
        <v>0</v>
      </c>
      <c r="F249" s="414">
        <v>0</v>
      </c>
      <c r="G249" s="414">
        <v>0</v>
      </c>
      <c r="H249" s="414">
        <v>0</v>
      </c>
      <c r="I249" s="414">
        <v>0</v>
      </c>
      <c r="J249" s="415">
        <v>0</v>
      </c>
      <c r="K249" s="415">
        <v>0</v>
      </c>
      <c r="L249" s="414">
        <v>0</v>
      </c>
      <c r="M249" s="414">
        <v>0</v>
      </c>
      <c r="N249" s="414">
        <v>0</v>
      </c>
      <c r="O249" s="415">
        <v>0</v>
      </c>
      <c r="P249" s="415">
        <v>0</v>
      </c>
      <c r="Q249" s="414">
        <v>0</v>
      </c>
      <c r="R249" s="415">
        <v>0</v>
      </c>
      <c r="S249" s="415">
        <v>0</v>
      </c>
      <c r="T249" s="415">
        <v>0</v>
      </c>
      <c r="U249" s="415">
        <v>0</v>
      </c>
      <c r="V249" s="421"/>
    </row>
    <row r="250" spans="1:22">
      <c r="A250" s="416"/>
      <c r="B250" s="417" t="s">
        <v>615</v>
      </c>
      <c r="C250" s="418">
        <v>0</v>
      </c>
      <c r="D250" s="419">
        <v>0</v>
      </c>
      <c r="E250" s="419">
        <v>0</v>
      </c>
      <c r="F250" s="419">
        <v>0</v>
      </c>
      <c r="G250" s="419">
        <v>0</v>
      </c>
      <c r="H250" s="419">
        <v>0</v>
      </c>
      <c r="I250" s="419">
        <v>0</v>
      </c>
      <c r="J250" s="420">
        <v>0</v>
      </c>
      <c r="K250" s="420">
        <v>0</v>
      </c>
      <c r="L250" s="419">
        <v>0</v>
      </c>
      <c r="M250" s="419">
        <v>0</v>
      </c>
      <c r="N250" s="419">
        <v>0</v>
      </c>
      <c r="O250" s="420">
        <v>0</v>
      </c>
      <c r="P250" s="420">
        <v>0</v>
      </c>
      <c r="Q250" s="419">
        <v>0</v>
      </c>
      <c r="R250" s="420">
        <v>0</v>
      </c>
      <c r="S250" s="420">
        <v>0</v>
      </c>
      <c r="T250" s="420">
        <v>0</v>
      </c>
      <c r="U250" s="420">
        <v>0</v>
      </c>
      <c r="V250" s="421"/>
    </row>
    <row r="251" spans="1:22">
      <c r="A251" s="416"/>
      <c r="B251" s="422" t="s">
        <v>616</v>
      </c>
      <c r="C251" s="423">
        <v>0</v>
      </c>
      <c r="D251" s="424">
        <v>0</v>
      </c>
      <c r="E251" s="424">
        <v>0</v>
      </c>
      <c r="F251" s="424">
        <v>0</v>
      </c>
      <c r="G251" s="424">
        <v>0</v>
      </c>
      <c r="H251" s="424">
        <v>0</v>
      </c>
      <c r="I251" s="424">
        <v>0</v>
      </c>
      <c r="J251" s="426">
        <v>0</v>
      </c>
      <c r="K251" s="426">
        <v>0</v>
      </c>
      <c r="L251" s="424">
        <v>0</v>
      </c>
      <c r="M251" s="424">
        <v>0</v>
      </c>
      <c r="N251" s="424">
        <v>0</v>
      </c>
      <c r="O251" s="426">
        <v>0</v>
      </c>
      <c r="P251" s="426">
        <v>0</v>
      </c>
      <c r="Q251" s="424">
        <v>0</v>
      </c>
      <c r="R251" s="426">
        <v>0</v>
      </c>
      <c r="S251" s="426">
        <v>0</v>
      </c>
      <c r="T251" s="426">
        <v>0</v>
      </c>
      <c r="U251" s="426">
        <v>0</v>
      </c>
      <c r="V251" s="421"/>
    </row>
    <row r="252" spans="1:22">
      <c r="A252" s="416"/>
      <c r="B252" s="394" t="s">
        <v>617</v>
      </c>
      <c r="C252" s="413">
        <v>0</v>
      </c>
      <c r="D252" s="414">
        <v>0</v>
      </c>
      <c r="E252" s="414">
        <v>0</v>
      </c>
      <c r="F252" s="414">
        <v>0</v>
      </c>
      <c r="G252" s="414">
        <v>0</v>
      </c>
      <c r="H252" s="414">
        <v>0</v>
      </c>
      <c r="I252" s="414">
        <v>3.551336146272855E-2</v>
      </c>
      <c r="J252" s="415">
        <v>1.3952701263686498E-3</v>
      </c>
      <c r="K252" s="415">
        <v>0</v>
      </c>
      <c r="L252" s="414">
        <v>0</v>
      </c>
      <c r="M252" s="414">
        <v>0</v>
      </c>
      <c r="N252" s="414">
        <v>0</v>
      </c>
      <c r="O252" s="415">
        <v>0</v>
      </c>
      <c r="P252" s="415">
        <v>0</v>
      </c>
      <c r="Q252" s="414">
        <v>0</v>
      </c>
      <c r="R252" s="415">
        <v>0</v>
      </c>
      <c r="S252" s="415">
        <v>0</v>
      </c>
      <c r="T252" s="415">
        <v>0</v>
      </c>
      <c r="U252" s="415">
        <v>1.3952701263686498E-3</v>
      </c>
      <c r="V252" s="421"/>
    </row>
    <row r="253" spans="1:22">
      <c r="A253" s="416"/>
      <c r="B253" s="417" t="s">
        <v>618</v>
      </c>
      <c r="C253" s="418">
        <v>0</v>
      </c>
      <c r="D253" s="419">
        <v>0</v>
      </c>
      <c r="E253" s="419">
        <v>0</v>
      </c>
      <c r="F253" s="419">
        <v>0</v>
      </c>
      <c r="G253" s="419">
        <v>0</v>
      </c>
      <c r="H253" s="419">
        <v>0</v>
      </c>
      <c r="I253" s="419">
        <v>0</v>
      </c>
      <c r="J253" s="420">
        <v>0</v>
      </c>
      <c r="K253" s="420">
        <v>0</v>
      </c>
      <c r="L253" s="419">
        <v>0</v>
      </c>
      <c r="M253" s="419">
        <v>0</v>
      </c>
      <c r="N253" s="419">
        <v>0</v>
      </c>
      <c r="O253" s="420">
        <v>0</v>
      </c>
      <c r="P253" s="420">
        <v>0</v>
      </c>
      <c r="Q253" s="419">
        <v>0</v>
      </c>
      <c r="R253" s="420">
        <v>0</v>
      </c>
      <c r="S253" s="420">
        <v>0</v>
      </c>
      <c r="T253" s="420">
        <v>0</v>
      </c>
      <c r="U253" s="420">
        <v>0</v>
      </c>
      <c r="V253" s="421"/>
    </row>
    <row r="254" spans="1:22">
      <c r="A254" s="416"/>
      <c r="B254" s="422" t="s">
        <v>619</v>
      </c>
      <c r="C254" s="423">
        <v>0</v>
      </c>
      <c r="D254" s="424">
        <v>0</v>
      </c>
      <c r="E254" s="424">
        <v>0</v>
      </c>
      <c r="F254" s="424">
        <v>0</v>
      </c>
      <c r="G254" s="424">
        <v>0</v>
      </c>
      <c r="H254" s="424">
        <v>0</v>
      </c>
      <c r="I254" s="424">
        <v>-3.5513361462728552</v>
      </c>
      <c r="J254" s="426">
        <v>-0.13952701263686498</v>
      </c>
      <c r="K254" s="426">
        <v>0</v>
      </c>
      <c r="L254" s="424">
        <v>0</v>
      </c>
      <c r="M254" s="424">
        <v>0</v>
      </c>
      <c r="N254" s="424">
        <v>0</v>
      </c>
      <c r="O254" s="426">
        <v>0</v>
      </c>
      <c r="P254" s="426">
        <v>0</v>
      </c>
      <c r="Q254" s="424">
        <v>0</v>
      </c>
      <c r="R254" s="426">
        <v>0</v>
      </c>
      <c r="S254" s="426">
        <v>0</v>
      </c>
      <c r="T254" s="426">
        <v>0</v>
      </c>
      <c r="U254" s="426">
        <v>-0.13952701263686498</v>
      </c>
      <c r="V254" s="421"/>
    </row>
    <row r="255" spans="1:22">
      <c r="A255" s="416"/>
      <c r="B255" s="394" t="s">
        <v>620</v>
      </c>
      <c r="C255" s="413">
        <v>0</v>
      </c>
      <c r="D255" s="414">
        <v>0</v>
      </c>
      <c r="E255" s="414">
        <v>0</v>
      </c>
      <c r="F255" s="414">
        <v>0</v>
      </c>
      <c r="G255" s="414">
        <v>0</v>
      </c>
      <c r="H255" s="414">
        <v>0</v>
      </c>
      <c r="I255" s="414">
        <v>0</v>
      </c>
      <c r="J255" s="415">
        <v>0</v>
      </c>
      <c r="K255" s="415">
        <v>0</v>
      </c>
      <c r="L255" s="414">
        <v>0</v>
      </c>
      <c r="M255" s="414">
        <v>0</v>
      </c>
      <c r="N255" s="414">
        <v>0</v>
      </c>
      <c r="O255" s="415">
        <v>0</v>
      </c>
      <c r="P255" s="415">
        <v>0</v>
      </c>
      <c r="Q255" s="414">
        <v>0</v>
      </c>
      <c r="R255" s="415">
        <v>0</v>
      </c>
      <c r="S255" s="415">
        <v>0</v>
      </c>
      <c r="T255" s="415">
        <v>0</v>
      </c>
      <c r="U255" s="415">
        <v>0</v>
      </c>
      <c r="V255" s="421"/>
    </row>
    <row r="256" spans="1:22">
      <c r="A256" s="416"/>
      <c r="B256" s="417" t="s">
        <v>621</v>
      </c>
      <c r="C256" s="418">
        <v>0</v>
      </c>
      <c r="D256" s="419">
        <v>0</v>
      </c>
      <c r="E256" s="419">
        <v>0</v>
      </c>
      <c r="F256" s="419">
        <v>0</v>
      </c>
      <c r="G256" s="419">
        <v>0</v>
      </c>
      <c r="H256" s="419">
        <v>0</v>
      </c>
      <c r="I256" s="419">
        <v>0</v>
      </c>
      <c r="J256" s="420">
        <v>0</v>
      </c>
      <c r="K256" s="420">
        <v>0</v>
      </c>
      <c r="L256" s="419">
        <v>0</v>
      </c>
      <c r="M256" s="419">
        <v>0</v>
      </c>
      <c r="N256" s="419">
        <v>0</v>
      </c>
      <c r="O256" s="420">
        <v>0</v>
      </c>
      <c r="P256" s="420">
        <v>0</v>
      </c>
      <c r="Q256" s="419">
        <v>0</v>
      </c>
      <c r="R256" s="420">
        <v>0</v>
      </c>
      <c r="S256" s="420">
        <v>0</v>
      </c>
      <c r="T256" s="420">
        <v>0</v>
      </c>
      <c r="U256" s="420">
        <v>0</v>
      </c>
      <c r="V256" s="421"/>
    </row>
    <row r="257" spans="1:22" ht="15" thickBot="1">
      <c r="A257" s="432"/>
      <c r="B257" s="433" t="s">
        <v>622</v>
      </c>
      <c r="C257" s="434">
        <v>0</v>
      </c>
      <c r="D257" s="435">
        <v>0</v>
      </c>
      <c r="E257" s="435">
        <v>0</v>
      </c>
      <c r="F257" s="435">
        <v>0</v>
      </c>
      <c r="G257" s="435">
        <v>0</v>
      </c>
      <c r="H257" s="435">
        <v>0</v>
      </c>
      <c r="I257" s="435">
        <v>0</v>
      </c>
      <c r="J257" s="436">
        <v>0</v>
      </c>
      <c r="K257" s="436">
        <v>0</v>
      </c>
      <c r="L257" s="435">
        <v>0</v>
      </c>
      <c r="M257" s="435">
        <v>0</v>
      </c>
      <c r="N257" s="435">
        <v>0</v>
      </c>
      <c r="O257" s="436">
        <v>0</v>
      </c>
      <c r="P257" s="436">
        <v>0</v>
      </c>
      <c r="Q257" s="435">
        <v>0</v>
      </c>
      <c r="R257" s="436">
        <v>0</v>
      </c>
      <c r="S257" s="436">
        <v>0</v>
      </c>
      <c r="T257" s="436">
        <v>0</v>
      </c>
      <c r="U257" s="436">
        <v>0</v>
      </c>
      <c r="V257" s="421"/>
    </row>
    <row r="258" spans="1:22">
      <c r="A258" s="412" t="s">
        <v>247</v>
      </c>
      <c r="B258" s="394" t="s">
        <v>587</v>
      </c>
      <c r="C258" s="413">
        <v>0.93571228510385152</v>
      </c>
      <c r="D258" s="414">
        <v>0.87504876107851703</v>
      </c>
      <c r="E258" s="414">
        <v>0.85216798577998842</v>
      </c>
      <c r="F258" s="414">
        <v>0.8146969349247406</v>
      </c>
      <c r="G258" s="414">
        <v>0.78742607145750632</v>
      </c>
      <c r="H258" s="414">
        <v>0.99850266712418501</v>
      </c>
      <c r="I258" s="414">
        <v>1.3672944769962583E-2</v>
      </c>
      <c r="J258" s="415">
        <v>0.66938852658013293</v>
      </c>
      <c r="K258" s="415">
        <v>0</v>
      </c>
      <c r="L258" s="414">
        <v>0.65845351453813838</v>
      </c>
      <c r="M258" s="414">
        <v>0.65439893873095545</v>
      </c>
      <c r="N258" s="414">
        <v>0.66046477992944108</v>
      </c>
      <c r="O258" s="415">
        <v>0.65770702048154961</v>
      </c>
      <c r="P258" s="415">
        <v>0</v>
      </c>
      <c r="Q258" s="414">
        <v>0</v>
      </c>
      <c r="R258" s="415">
        <v>0</v>
      </c>
      <c r="S258" s="415">
        <v>0</v>
      </c>
      <c r="T258" s="415">
        <v>0</v>
      </c>
      <c r="U258" s="415">
        <v>0.66446370752108586</v>
      </c>
      <c r="V258" s="421"/>
    </row>
    <row r="259" spans="1:22">
      <c r="A259" s="416"/>
      <c r="B259" s="417" t="s">
        <v>588</v>
      </c>
      <c r="C259" s="418">
        <v>0.92618034610488653</v>
      </c>
      <c r="D259" s="419">
        <v>0.85197058136585946</v>
      </c>
      <c r="E259" s="419">
        <v>0.84151036702466686</v>
      </c>
      <c r="F259" s="419">
        <v>0.80560889049240991</v>
      </c>
      <c r="G259" s="419">
        <v>0.79782962200909302</v>
      </c>
      <c r="H259" s="419">
        <v>0.99504929367077799</v>
      </c>
      <c r="I259" s="419">
        <v>1.3625382798537956E-2</v>
      </c>
      <c r="J259" s="420">
        <v>0.6606418203388722</v>
      </c>
      <c r="K259" s="420">
        <v>0</v>
      </c>
      <c r="L259" s="419">
        <v>0.63504526077580947</v>
      </c>
      <c r="M259" s="419">
        <v>0.64598467750265776</v>
      </c>
      <c r="N259" s="419">
        <v>0.61652095266807361</v>
      </c>
      <c r="O259" s="420">
        <v>0.63604585979986494</v>
      </c>
      <c r="P259" s="420">
        <v>0</v>
      </c>
      <c r="Q259" s="419">
        <v>0</v>
      </c>
      <c r="R259" s="420">
        <v>0</v>
      </c>
      <c r="S259" s="420">
        <v>0</v>
      </c>
      <c r="T259" s="420">
        <v>0</v>
      </c>
      <c r="U259" s="420">
        <v>0.65031966558614707</v>
      </c>
      <c r="V259" s="421"/>
    </row>
    <row r="260" spans="1:22" s="439" customFormat="1">
      <c r="A260" s="416"/>
      <c r="B260" s="422" t="s">
        <v>589</v>
      </c>
      <c r="C260" s="423">
        <v>-0.95319389989649839</v>
      </c>
      <c r="D260" s="424">
        <v>-2.3078179712657576</v>
      </c>
      <c r="E260" s="424">
        <v>-1.0657618755321563</v>
      </c>
      <c r="F260" s="424">
        <v>-0.90880444323306886</v>
      </c>
      <c r="G260" s="424">
        <v>1.0403550551586704</v>
      </c>
      <c r="H260" s="424">
        <v>-0.3453373453407016</v>
      </c>
      <c r="I260" s="424">
        <v>-4.7561971424626287E-3</v>
      </c>
      <c r="J260" s="426">
        <v>-0.87467062412607266</v>
      </c>
      <c r="K260" s="426">
        <v>0</v>
      </c>
      <c r="L260" s="424">
        <v>-2.3408253762328912</v>
      </c>
      <c r="M260" s="424">
        <v>-0.84142612282976925</v>
      </c>
      <c r="N260" s="424">
        <v>-4.3943827261367474</v>
      </c>
      <c r="O260" s="426">
        <v>-2.1661160681684666</v>
      </c>
      <c r="P260" s="426">
        <v>0</v>
      </c>
      <c r="Q260" s="424">
        <v>0</v>
      </c>
      <c r="R260" s="426">
        <v>0</v>
      </c>
      <c r="S260" s="426">
        <v>0</v>
      </c>
      <c r="T260" s="426">
        <v>0</v>
      </c>
      <c r="U260" s="426">
        <v>-1.4144041934938789</v>
      </c>
      <c r="V260" s="421"/>
    </row>
    <row r="261" spans="1:22">
      <c r="A261" s="416"/>
      <c r="B261" s="394" t="s">
        <v>590</v>
      </c>
      <c r="C261" s="413">
        <v>1.7409278930397606E-2</v>
      </c>
      <c r="D261" s="414">
        <v>1.4400121707651979E-2</v>
      </c>
      <c r="E261" s="414">
        <v>2.1587578652593208E-2</v>
      </c>
      <c r="F261" s="414">
        <v>1.2574866831513177E-2</v>
      </c>
      <c r="G261" s="414">
        <v>7.2915822733533181E-4</v>
      </c>
      <c r="H261" s="414">
        <v>0</v>
      </c>
      <c r="I261" s="414">
        <v>5.8282731134636744E-2</v>
      </c>
      <c r="J261" s="415">
        <v>2.6181659546404962E-2</v>
      </c>
      <c r="K261" s="415">
        <v>0</v>
      </c>
      <c r="L261" s="414">
        <v>0.17188923745441242</v>
      </c>
      <c r="M261" s="414">
        <v>5.7612929133168546E-2</v>
      </c>
      <c r="N261" s="414">
        <v>9.2682221315412941E-2</v>
      </c>
      <c r="O261" s="415">
        <v>0.1405982651039091</v>
      </c>
      <c r="P261" s="415">
        <v>0</v>
      </c>
      <c r="Q261" s="414">
        <v>0</v>
      </c>
      <c r="R261" s="415">
        <v>0</v>
      </c>
      <c r="S261" s="415">
        <v>0</v>
      </c>
      <c r="T261" s="415">
        <v>0</v>
      </c>
      <c r="U261" s="415">
        <v>7.4418682663603922E-2</v>
      </c>
      <c r="V261" s="421"/>
    </row>
    <row r="262" spans="1:22">
      <c r="A262" s="416"/>
      <c r="B262" s="417" t="s">
        <v>591</v>
      </c>
      <c r="C262" s="418">
        <v>1.839929356988039E-2</v>
      </c>
      <c r="D262" s="419">
        <v>1.5220544527410312E-2</v>
      </c>
      <c r="E262" s="419">
        <v>2.1944461383344764E-2</v>
      </c>
      <c r="F262" s="419">
        <v>1.1455153702853653E-2</v>
      </c>
      <c r="G262" s="419">
        <v>0</v>
      </c>
      <c r="H262" s="419">
        <v>0</v>
      </c>
      <c r="I262" s="419">
        <v>5.3015539450326742E-2</v>
      </c>
      <c r="J262" s="420">
        <v>2.5193681494564791E-2</v>
      </c>
      <c r="K262" s="420">
        <v>0</v>
      </c>
      <c r="L262" s="419">
        <v>0.18556019731633314</v>
      </c>
      <c r="M262" s="419">
        <v>4.6219789441353194E-2</v>
      </c>
      <c r="N262" s="419">
        <v>0.11310465528879118</v>
      </c>
      <c r="O262" s="420">
        <v>0.14979146834390381</v>
      </c>
      <c r="P262" s="420">
        <v>0</v>
      </c>
      <c r="Q262" s="419">
        <v>0</v>
      </c>
      <c r="R262" s="420">
        <v>0</v>
      </c>
      <c r="S262" s="420">
        <v>0</v>
      </c>
      <c r="T262" s="420">
        <v>0</v>
      </c>
      <c r="U262" s="420">
        <v>7.748347256274675E-2</v>
      </c>
      <c r="V262" s="421"/>
    </row>
    <row r="263" spans="1:22" s="439" customFormat="1">
      <c r="A263" s="416"/>
      <c r="B263" s="422" t="s">
        <v>592</v>
      </c>
      <c r="C263" s="423">
        <v>9.9001463948278356E-2</v>
      </c>
      <c r="D263" s="424">
        <v>8.2042281975833353E-2</v>
      </c>
      <c r="E263" s="424">
        <v>3.5688273075155583E-2</v>
      </c>
      <c r="F263" s="424">
        <v>-0.11197131286595235</v>
      </c>
      <c r="G263" s="424">
        <v>-7.2915822733533184E-2</v>
      </c>
      <c r="H263" s="424">
        <v>0</v>
      </c>
      <c r="I263" s="424">
        <v>-0.5267191684310002</v>
      </c>
      <c r="J263" s="426">
        <v>-9.8797805184017151E-2</v>
      </c>
      <c r="K263" s="426">
        <v>0</v>
      </c>
      <c r="L263" s="424">
        <v>1.3670959861920711</v>
      </c>
      <c r="M263" s="424">
        <v>-1.139313969181535</v>
      </c>
      <c r="N263" s="424">
        <v>2.0422433973378245</v>
      </c>
      <c r="O263" s="426">
        <v>0.91932032399947017</v>
      </c>
      <c r="P263" s="426">
        <v>0</v>
      </c>
      <c r="Q263" s="424">
        <v>0</v>
      </c>
      <c r="R263" s="426">
        <v>0</v>
      </c>
      <c r="S263" s="426">
        <v>0</v>
      </c>
      <c r="T263" s="426">
        <v>0</v>
      </c>
      <c r="U263" s="426">
        <v>0.3064789899142828</v>
      </c>
      <c r="V263" s="421"/>
    </row>
    <row r="264" spans="1:22">
      <c r="A264" s="416"/>
      <c r="B264" s="394" t="s">
        <v>593</v>
      </c>
      <c r="C264" s="413">
        <v>4.5770825279911852E-2</v>
      </c>
      <c r="D264" s="414">
        <v>0.11055111721383098</v>
      </c>
      <c r="E264" s="414">
        <v>0.12624443556741832</v>
      </c>
      <c r="F264" s="414">
        <v>0.16101696377575583</v>
      </c>
      <c r="G264" s="414">
        <v>0.21184477031515839</v>
      </c>
      <c r="H264" s="414">
        <v>1.4973328758149545E-3</v>
      </c>
      <c r="I264" s="414">
        <v>0.92803426871985606</v>
      </c>
      <c r="J264" s="415">
        <v>0.30222798583786481</v>
      </c>
      <c r="K264" s="415">
        <v>0</v>
      </c>
      <c r="L264" s="414">
        <v>0.16951314141290974</v>
      </c>
      <c r="M264" s="414">
        <v>0.28717726461140186</v>
      </c>
      <c r="N264" s="414">
        <v>0.2369613165493267</v>
      </c>
      <c r="O264" s="415">
        <v>0.2006675722610676</v>
      </c>
      <c r="P264" s="415">
        <v>0</v>
      </c>
      <c r="Q264" s="414">
        <v>0</v>
      </c>
      <c r="R264" s="415">
        <v>0</v>
      </c>
      <c r="S264" s="415">
        <v>0</v>
      </c>
      <c r="T264" s="415">
        <v>0</v>
      </c>
      <c r="U264" s="415">
        <v>0.25941101889827051</v>
      </c>
      <c r="V264" s="421"/>
    </row>
    <row r="265" spans="1:22">
      <c r="A265" s="416"/>
      <c r="B265" s="417" t="s">
        <v>594</v>
      </c>
      <c r="C265" s="418">
        <v>5.4484569777176341E-2</v>
      </c>
      <c r="D265" s="419">
        <v>0.13280887410673026</v>
      </c>
      <c r="E265" s="419">
        <v>0.13645495454480905</v>
      </c>
      <c r="F265" s="419">
        <v>0.16864179581659608</v>
      </c>
      <c r="G265" s="419">
        <v>0.20217037799090698</v>
      </c>
      <c r="H265" s="419">
        <v>4.9507063292219709E-3</v>
      </c>
      <c r="I265" s="419">
        <v>0.93335907775113525</v>
      </c>
      <c r="J265" s="420">
        <v>0.31160853185185422</v>
      </c>
      <c r="K265" s="420">
        <v>0</v>
      </c>
      <c r="L265" s="419">
        <v>0.17923576111104803</v>
      </c>
      <c r="M265" s="419">
        <v>0.30628906153588792</v>
      </c>
      <c r="N265" s="419">
        <v>0.26237590743314809</v>
      </c>
      <c r="O265" s="420">
        <v>0.21312499581493896</v>
      </c>
      <c r="P265" s="420">
        <v>0</v>
      </c>
      <c r="Q265" s="419">
        <v>0</v>
      </c>
      <c r="R265" s="420">
        <v>0</v>
      </c>
      <c r="S265" s="420">
        <v>0</v>
      </c>
      <c r="T265" s="420">
        <v>0</v>
      </c>
      <c r="U265" s="420">
        <v>0.27027807443969365</v>
      </c>
      <c r="V265" s="421"/>
    </row>
    <row r="266" spans="1:22" s="439" customFormat="1">
      <c r="A266" s="416"/>
      <c r="B266" s="422" t="s">
        <v>595</v>
      </c>
      <c r="C266" s="423">
        <v>0.87137444972644884</v>
      </c>
      <c r="D266" s="424">
        <v>2.225775689289927</v>
      </c>
      <c r="E266" s="424">
        <v>1.0210518977390726</v>
      </c>
      <c r="F266" s="424">
        <v>0.76248320408402459</v>
      </c>
      <c r="G266" s="424">
        <v>-0.96743923242514074</v>
      </c>
      <c r="H266" s="424">
        <v>0.34533734534070165</v>
      </c>
      <c r="I266" s="424">
        <v>0.53248090312791874</v>
      </c>
      <c r="J266" s="426">
        <v>0.93805460139894103</v>
      </c>
      <c r="K266" s="426">
        <v>0</v>
      </c>
      <c r="L266" s="424">
        <v>0.97226196981382851</v>
      </c>
      <c r="M266" s="424">
        <v>1.9111796924486057</v>
      </c>
      <c r="N266" s="424">
        <v>2.5414590883821391</v>
      </c>
      <c r="O266" s="426">
        <v>1.2457423553871361</v>
      </c>
      <c r="P266" s="426">
        <v>0</v>
      </c>
      <c r="Q266" s="424">
        <v>0</v>
      </c>
      <c r="R266" s="426">
        <v>0</v>
      </c>
      <c r="S266" s="426">
        <v>0</v>
      </c>
      <c r="T266" s="426">
        <v>0</v>
      </c>
      <c r="U266" s="426">
        <v>1.0867055541423143</v>
      </c>
      <c r="V266" s="421"/>
    </row>
    <row r="267" spans="1:22">
      <c r="A267" s="416"/>
      <c r="B267" s="394" t="s">
        <v>596</v>
      </c>
      <c r="C267" s="413">
        <v>1.1076106858390179E-3</v>
      </c>
      <c r="D267" s="414">
        <v>0</v>
      </c>
      <c r="E267" s="414">
        <v>0</v>
      </c>
      <c r="F267" s="414">
        <v>1.1711234467990385E-2</v>
      </c>
      <c r="G267" s="414">
        <v>0</v>
      </c>
      <c r="H267" s="414">
        <v>0</v>
      </c>
      <c r="I267" s="414">
        <v>1.0055375544616884E-5</v>
      </c>
      <c r="J267" s="415">
        <v>2.2018280355973322E-3</v>
      </c>
      <c r="K267" s="415">
        <v>0</v>
      </c>
      <c r="L267" s="414">
        <v>1.4410659453946857E-4</v>
      </c>
      <c r="M267" s="414">
        <v>6.4201007903056122E-4</v>
      </c>
      <c r="N267" s="414">
        <v>9.8916822058193049E-3</v>
      </c>
      <c r="O267" s="415">
        <v>9.8973485198145124E-4</v>
      </c>
      <c r="P267" s="415">
        <v>0</v>
      </c>
      <c r="Q267" s="414">
        <v>0</v>
      </c>
      <c r="R267" s="415">
        <v>0</v>
      </c>
      <c r="S267" s="415">
        <v>0</v>
      </c>
      <c r="T267" s="415">
        <v>0</v>
      </c>
      <c r="U267" s="415">
        <v>1.6908203314848947E-3</v>
      </c>
      <c r="V267" s="421"/>
    </row>
    <row r="268" spans="1:22">
      <c r="A268" s="416"/>
      <c r="B268" s="417" t="s">
        <v>597</v>
      </c>
      <c r="C268" s="418">
        <v>9.357905480567438E-4</v>
      </c>
      <c r="D268" s="419">
        <v>0</v>
      </c>
      <c r="E268" s="419">
        <v>9.0217047179338961E-5</v>
      </c>
      <c r="F268" s="419">
        <v>1.4294159988140294E-2</v>
      </c>
      <c r="G268" s="419">
        <v>0</v>
      </c>
      <c r="H268" s="419">
        <v>0</v>
      </c>
      <c r="I268" s="419">
        <v>0</v>
      </c>
      <c r="J268" s="420">
        <v>2.5559663147087896E-3</v>
      </c>
      <c r="K268" s="420">
        <v>0</v>
      </c>
      <c r="L268" s="419">
        <v>1.5878079680944741E-4</v>
      </c>
      <c r="M268" s="419">
        <v>1.4571089824278508E-3</v>
      </c>
      <c r="N268" s="419">
        <v>7.9984846099871668E-3</v>
      </c>
      <c r="O268" s="420">
        <v>1.0269208577548862E-3</v>
      </c>
      <c r="P268" s="420">
        <v>0</v>
      </c>
      <c r="Q268" s="419">
        <v>0</v>
      </c>
      <c r="R268" s="420">
        <v>0</v>
      </c>
      <c r="S268" s="420">
        <v>0</v>
      </c>
      <c r="T268" s="420">
        <v>0</v>
      </c>
      <c r="U268" s="420">
        <v>1.9142737975330996E-3</v>
      </c>
      <c r="V268" s="421"/>
    </row>
    <row r="269" spans="1:22" s="439" customFormat="1">
      <c r="A269" s="416"/>
      <c r="B269" s="422" t="s">
        <v>598</v>
      </c>
      <c r="C269" s="423">
        <v>-1.7182013778227413E-2</v>
      </c>
      <c r="D269" s="424">
        <v>0</v>
      </c>
      <c r="E269" s="424">
        <v>0</v>
      </c>
      <c r="F269" s="424">
        <v>0.25829255201499091</v>
      </c>
      <c r="G269" s="424">
        <v>0</v>
      </c>
      <c r="H269" s="424">
        <v>0</v>
      </c>
      <c r="I269" s="424">
        <v>-1.0055375544616885E-3</v>
      </c>
      <c r="J269" s="426">
        <v>3.5413827911145737E-2</v>
      </c>
      <c r="K269" s="426">
        <v>0</v>
      </c>
      <c r="L269" s="424">
        <v>1.4674202269978846E-3</v>
      </c>
      <c r="M269" s="424">
        <v>8.1509890339728955E-2</v>
      </c>
      <c r="N269" s="424">
        <v>-0.18931975958321381</v>
      </c>
      <c r="O269" s="426">
        <v>3.7186005773434932E-3</v>
      </c>
      <c r="P269" s="426">
        <v>0</v>
      </c>
      <c r="Q269" s="424">
        <v>0</v>
      </c>
      <c r="R269" s="426">
        <v>0</v>
      </c>
      <c r="S269" s="426">
        <v>0</v>
      </c>
      <c r="T269" s="426">
        <v>0</v>
      </c>
      <c r="U269" s="426">
        <v>2.2345346604820501E-2</v>
      </c>
      <c r="V269" s="421"/>
    </row>
    <row r="270" spans="1:22">
      <c r="A270" s="416"/>
      <c r="B270" s="394" t="s">
        <v>599</v>
      </c>
      <c r="C270" s="413">
        <v>0</v>
      </c>
      <c r="D270" s="414">
        <v>0</v>
      </c>
      <c r="E270" s="414">
        <v>0</v>
      </c>
      <c r="F270" s="414">
        <v>0</v>
      </c>
      <c r="G270" s="414">
        <v>0</v>
      </c>
      <c r="H270" s="414">
        <v>0</v>
      </c>
      <c r="I270" s="414">
        <v>0</v>
      </c>
      <c r="J270" s="415">
        <v>0</v>
      </c>
      <c r="K270" s="415">
        <v>0</v>
      </c>
      <c r="L270" s="414">
        <v>0</v>
      </c>
      <c r="M270" s="414">
        <v>0</v>
      </c>
      <c r="N270" s="414">
        <v>0</v>
      </c>
      <c r="O270" s="415">
        <v>0</v>
      </c>
      <c r="P270" s="415">
        <v>0</v>
      </c>
      <c r="Q270" s="414">
        <v>0</v>
      </c>
      <c r="R270" s="415">
        <v>0</v>
      </c>
      <c r="S270" s="415">
        <v>0</v>
      </c>
      <c r="T270" s="415">
        <v>0</v>
      </c>
      <c r="U270" s="415">
        <v>0</v>
      </c>
      <c r="V270" s="421"/>
    </row>
    <row r="271" spans="1:22">
      <c r="A271" s="416"/>
      <c r="B271" s="417" t="s">
        <v>600</v>
      </c>
      <c r="C271" s="418">
        <v>0</v>
      </c>
      <c r="D271" s="419">
        <v>0</v>
      </c>
      <c r="E271" s="419">
        <v>0</v>
      </c>
      <c r="F271" s="419">
        <v>0</v>
      </c>
      <c r="G271" s="419">
        <v>0</v>
      </c>
      <c r="H271" s="419">
        <v>0</v>
      </c>
      <c r="I271" s="419">
        <v>0</v>
      </c>
      <c r="J271" s="420">
        <v>0</v>
      </c>
      <c r="K271" s="420">
        <v>0</v>
      </c>
      <c r="L271" s="419">
        <v>0</v>
      </c>
      <c r="M271" s="419">
        <v>0</v>
      </c>
      <c r="N271" s="419">
        <v>0</v>
      </c>
      <c r="O271" s="420">
        <v>0</v>
      </c>
      <c r="P271" s="420">
        <v>0</v>
      </c>
      <c r="Q271" s="419">
        <v>0</v>
      </c>
      <c r="R271" s="420">
        <v>0</v>
      </c>
      <c r="S271" s="420">
        <v>0</v>
      </c>
      <c r="T271" s="420">
        <v>0</v>
      </c>
      <c r="U271" s="420">
        <v>0</v>
      </c>
      <c r="V271" s="421"/>
    </row>
    <row r="272" spans="1:22" s="439" customFormat="1">
      <c r="A272" s="416"/>
      <c r="B272" s="422" t="s">
        <v>601</v>
      </c>
      <c r="C272" s="423">
        <v>0</v>
      </c>
      <c r="D272" s="424">
        <v>0</v>
      </c>
      <c r="E272" s="424">
        <v>0</v>
      </c>
      <c r="F272" s="424">
        <v>0</v>
      </c>
      <c r="G272" s="424">
        <v>0</v>
      </c>
      <c r="H272" s="424">
        <v>0</v>
      </c>
      <c r="I272" s="424">
        <v>0</v>
      </c>
      <c r="J272" s="426">
        <v>0</v>
      </c>
      <c r="K272" s="426">
        <v>0</v>
      </c>
      <c r="L272" s="424">
        <v>0</v>
      </c>
      <c r="M272" s="424">
        <v>0</v>
      </c>
      <c r="N272" s="424">
        <v>0</v>
      </c>
      <c r="O272" s="426">
        <v>0</v>
      </c>
      <c r="P272" s="426">
        <v>0</v>
      </c>
      <c r="Q272" s="424">
        <v>0</v>
      </c>
      <c r="R272" s="426">
        <v>0</v>
      </c>
      <c r="S272" s="426">
        <v>0</v>
      </c>
      <c r="T272" s="426">
        <v>0</v>
      </c>
      <c r="U272" s="426">
        <v>0</v>
      </c>
      <c r="V272" s="421"/>
    </row>
    <row r="273" spans="1:22">
      <c r="A273" s="416"/>
      <c r="B273" s="394" t="s">
        <v>602</v>
      </c>
      <c r="C273" s="413">
        <v>0</v>
      </c>
      <c r="D273" s="414">
        <v>0</v>
      </c>
      <c r="E273" s="414">
        <v>0</v>
      </c>
      <c r="F273" s="414">
        <v>0</v>
      </c>
      <c r="G273" s="414">
        <v>0</v>
      </c>
      <c r="H273" s="414">
        <v>0</v>
      </c>
      <c r="I273" s="414">
        <v>0</v>
      </c>
      <c r="J273" s="415">
        <v>0</v>
      </c>
      <c r="K273" s="415">
        <v>0</v>
      </c>
      <c r="L273" s="414">
        <v>0</v>
      </c>
      <c r="M273" s="414">
        <v>1.6885744544365447E-4</v>
      </c>
      <c r="N273" s="414">
        <v>0</v>
      </c>
      <c r="O273" s="415">
        <v>3.7407301492212329E-5</v>
      </c>
      <c r="P273" s="415">
        <v>0</v>
      </c>
      <c r="Q273" s="414">
        <v>0</v>
      </c>
      <c r="R273" s="415">
        <v>0</v>
      </c>
      <c r="S273" s="415">
        <v>0</v>
      </c>
      <c r="T273" s="415">
        <v>0</v>
      </c>
      <c r="U273" s="415">
        <v>1.5770585554777741E-5</v>
      </c>
      <c r="V273" s="421"/>
    </row>
    <row r="274" spans="1:22">
      <c r="A274" s="416"/>
      <c r="B274" s="417" t="s">
        <v>603</v>
      </c>
      <c r="C274" s="418">
        <v>0</v>
      </c>
      <c r="D274" s="419">
        <v>0</v>
      </c>
      <c r="E274" s="419">
        <v>0</v>
      </c>
      <c r="F274" s="419">
        <v>0</v>
      </c>
      <c r="G274" s="419">
        <v>0</v>
      </c>
      <c r="H274" s="419">
        <v>0</v>
      </c>
      <c r="I274" s="419">
        <v>0</v>
      </c>
      <c r="J274" s="420">
        <v>0</v>
      </c>
      <c r="K274" s="420">
        <v>0</v>
      </c>
      <c r="L274" s="419">
        <v>0</v>
      </c>
      <c r="M274" s="419">
        <v>4.9362537673214517E-5</v>
      </c>
      <c r="N274" s="419">
        <v>0</v>
      </c>
      <c r="O274" s="420">
        <v>1.0755183537386318E-5</v>
      </c>
      <c r="P274" s="420">
        <v>0</v>
      </c>
      <c r="Q274" s="419">
        <v>0</v>
      </c>
      <c r="R274" s="420">
        <v>0</v>
      </c>
      <c r="S274" s="420">
        <v>0</v>
      </c>
      <c r="T274" s="420">
        <v>0</v>
      </c>
      <c r="U274" s="420">
        <v>4.5136138794335592E-6</v>
      </c>
      <c r="V274" s="421"/>
    </row>
    <row r="275" spans="1:22" s="439" customFormat="1" ht="15" thickBot="1">
      <c r="A275" s="416"/>
      <c r="B275" s="428" t="s">
        <v>604</v>
      </c>
      <c r="C275" s="429">
        <v>0</v>
      </c>
      <c r="D275" s="430">
        <v>0</v>
      </c>
      <c r="E275" s="430">
        <v>0</v>
      </c>
      <c r="F275" s="430">
        <v>0</v>
      </c>
      <c r="G275" s="430">
        <v>0</v>
      </c>
      <c r="H275" s="430">
        <v>0</v>
      </c>
      <c r="I275" s="430">
        <v>0</v>
      </c>
      <c r="J275" s="431">
        <v>0</v>
      </c>
      <c r="K275" s="431">
        <v>0</v>
      </c>
      <c r="L275" s="430">
        <v>0</v>
      </c>
      <c r="M275" s="430">
        <v>-1.1949490777043995E-2</v>
      </c>
      <c r="N275" s="430">
        <v>0</v>
      </c>
      <c r="O275" s="431">
        <v>-2.665211795482601E-3</v>
      </c>
      <c r="P275" s="431">
        <v>0</v>
      </c>
      <c r="Q275" s="430">
        <v>0</v>
      </c>
      <c r="R275" s="431">
        <v>0</v>
      </c>
      <c r="S275" s="431">
        <v>0</v>
      </c>
      <c r="T275" s="431">
        <v>0</v>
      </c>
      <c r="U275" s="431">
        <v>-1.1256971675344181E-3</v>
      </c>
      <c r="V275" s="421"/>
    </row>
    <row r="276" spans="1:22" ht="15" thickTop="1">
      <c r="A276" s="416"/>
      <c r="B276" s="417" t="s">
        <v>605</v>
      </c>
      <c r="C276" s="418">
        <v>0.76953117630412227</v>
      </c>
      <c r="D276" s="419">
        <v>0.71748786636711315</v>
      </c>
      <c r="E276" s="419">
        <v>0.66443269668030924</v>
      </c>
      <c r="F276" s="419">
        <v>0.60567498304726508</v>
      </c>
      <c r="G276" s="419">
        <v>0.82503364737550466</v>
      </c>
      <c r="H276" s="419">
        <v>1</v>
      </c>
      <c r="I276" s="419">
        <v>0.10270231009476626</v>
      </c>
      <c r="J276" s="420">
        <v>0.45942735817843822</v>
      </c>
      <c r="K276" s="420">
        <v>0</v>
      </c>
      <c r="L276" s="419">
        <v>0</v>
      </c>
      <c r="M276" s="419">
        <v>0</v>
      </c>
      <c r="N276" s="419">
        <v>0</v>
      </c>
      <c r="O276" s="420">
        <v>0</v>
      </c>
      <c r="P276" s="420">
        <v>0</v>
      </c>
      <c r="Q276" s="419">
        <v>0</v>
      </c>
      <c r="R276" s="420">
        <v>0</v>
      </c>
      <c r="S276" s="420">
        <v>0</v>
      </c>
      <c r="T276" s="420">
        <v>0</v>
      </c>
      <c r="U276" s="420">
        <v>0.45942735817843822</v>
      </c>
      <c r="V276" s="421"/>
    </row>
    <row r="277" spans="1:22">
      <c r="A277" s="416"/>
      <c r="B277" s="417" t="s">
        <v>606</v>
      </c>
      <c r="C277" s="418">
        <v>0.7536717741883191</v>
      </c>
      <c r="D277" s="419">
        <v>0.72955646789608297</v>
      </c>
      <c r="E277" s="419">
        <v>0.65819849259473995</v>
      </c>
      <c r="F277" s="419">
        <v>0.56095091840323952</v>
      </c>
      <c r="G277" s="419">
        <v>0.8457852319756044</v>
      </c>
      <c r="H277" s="419">
        <v>1</v>
      </c>
      <c r="I277" s="419">
        <v>0.10622167824438887</v>
      </c>
      <c r="J277" s="420">
        <v>0.4601102892747056</v>
      </c>
      <c r="K277" s="420">
        <v>0</v>
      </c>
      <c r="L277" s="419">
        <v>0</v>
      </c>
      <c r="M277" s="419">
        <v>0</v>
      </c>
      <c r="N277" s="419">
        <v>0</v>
      </c>
      <c r="O277" s="420">
        <v>0</v>
      </c>
      <c r="P277" s="420">
        <v>0</v>
      </c>
      <c r="Q277" s="419">
        <v>0</v>
      </c>
      <c r="R277" s="420">
        <v>0</v>
      </c>
      <c r="S277" s="420">
        <v>0</v>
      </c>
      <c r="T277" s="420">
        <v>0</v>
      </c>
      <c r="U277" s="420">
        <v>0.4601102892747056</v>
      </c>
      <c r="V277" s="421"/>
    </row>
    <row r="278" spans="1:22" s="439" customFormat="1">
      <c r="A278" s="416"/>
      <c r="B278" s="422" t="s">
        <v>607</v>
      </c>
      <c r="C278" s="423">
        <v>-1.5859402115803167</v>
      </c>
      <c r="D278" s="424">
        <v>1.2068601528969825</v>
      </c>
      <c r="E278" s="424">
        <v>-0.62342040855692948</v>
      </c>
      <c r="F278" s="424">
        <v>-4.4724064644025567</v>
      </c>
      <c r="G278" s="424">
        <v>2.0751584600099737</v>
      </c>
      <c r="H278" s="424">
        <v>0</v>
      </c>
      <c r="I278" s="424">
        <v>0.35193681496226148</v>
      </c>
      <c r="J278" s="426">
        <v>6.8293109626738069E-2</v>
      </c>
      <c r="K278" s="426">
        <v>0</v>
      </c>
      <c r="L278" s="424">
        <v>0</v>
      </c>
      <c r="M278" s="424">
        <v>0</v>
      </c>
      <c r="N278" s="424">
        <v>0</v>
      </c>
      <c r="O278" s="426">
        <v>0</v>
      </c>
      <c r="P278" s="426">
        <v>0</v>
      </c>
      <c r="Q278" s="424">
        <v>0</v>
      </c>
      <c r="R278" s="426">
        <v>0</v>
      </c>
      <c r="S278" s="426">
        <v>0</v>
      </c>
      <c r="T278" s="426">
        <v>0</v>
      </c>
      <c r="U278" s="426">
        <v>6.8293109626738069E-2</v>
      </c>
      <c r="V278" s="421"/>
    </row>
    <row r="279" spans="1:22">
      <c r="A279" s="416"/>
      <c r="B279" s="394" t="s">
        <v>608</v>
      </c>
      <c r="C279" s="413">
        <v>0.10636732383737384</v>
      </c>
      <c r="D279" s="414">
        <v>6.2083040353976229E-2</v>
      </c>
      <c r="E279" s="414">
        <v>9.3673260572987721E-2</v>
      </c>
      <c r="F279" s="414">
        <v>1.4425236237461581E-2</v>
      </c>
      <c r="G279" s="414">
        <v>4.4991347817727359E-2</v>
      </c>
      <c r="H279" s="414">
        <v>0</v>
      </c>
      <c r="I279" s="414">
        <v>3.6400334873906211E-2</v>
      </c>
      <c r="J279" s="415">
        <v>6.2439650610257788E-2</v>
      </c>
      <c r="K279" s="415">
        <v>0</v>
      </c>
      <c r="L279" s="414">
        <v>0</v>
      </c>
      <c r="M279" s="414">
        <v>0</v>
      </c>
      <c r="N279" s="414">
        <v>0</v>
      </c>
      <c r="O279" s="415">
        <v>0</v>
      </c>
      <c r="P279" s="415">
        <v>0</v>
      </c>
      <c r="Q279" s="414">
        <v>0</v>
      </c>
      <c r="R279" s="415">
        <v>0</v>
      </c>
      <c r="S279" s="415">
        <v>0</v>
      </c>
      <c r="T279" s="415">
        <v>0</v>
      </c>
      <c r="U279" s="415">
        <v>6.2439650610257788E-2</v>
      </c>
      <c r="V279" s="421"/>
    </row>
    <row r="280" spans="1:22">
      <c r="A280" s="416"/>
      <c r="B280" s="417" t="s">
        <v>609</v>
      </c>
      <c r="C280" s="418">
        <v>0.11651763424265807</v>
      </c>
      <c r="D280" s="419">
        <v>4.470655539103513E-2</v>
      </c>
      <c r="E280" s="419">
        <v>9.582037632425025E-2</v>
      </c>
      <c r="F280" s="419">
        <v>3.4677121850361613E-2</v>
      </c>
      <c r="G280" s="419">
        <v>1.8296667392724897E-2</v>
      </c>
      <c r="H280" s="419">
        <v>0</v>
      </c>
      <c r="I280" s="419">
        <v>4.1847632536605936E-2</v>
      </c>
      <c r="J280" s="420">
        <v>6.7732895118160025E-2</v>
      </c>
      <c r="K280" s="420">
        <v>0</v>
      </c>
      <c r="L280" s="419">
        <v>0</v>
      </c>
      <c r="M280" s="419">
        <v>0</v>
      </c>
      <c r="N280" s="419">
        <v>0</v>
      </c>
      <c r="O280" s="420">
        <v>0</v>
      </c>
      <c r="P280" s="420">
        <v>0</v>
      </c>
      <c r="Q280" s="419">
        <v>0</v>
      </c>
      <c r="R280" s="420">
        <v>0</v>
      </c>
      <c r="S280" s="420">
        <v>0</v>
      </c>
      <c r="T280" s="420">
        <v>0</v>
      </c>
      <c r="U280" s="420">
        <v>6.7732895118160025E-2</v>
      </c>
      <c r="V280" s="421"/>
    </row>
    <row r="281" spans="1:22" s="439" customFormat="1">
      <c r="A281" s="416"/>
      <c r="B281" s="422" t="s">
        <v>610</v>
      </c>
      <c r="C281" s="423">
        <v>1.0150310405284233</v>
      </c>
      <c r="D281" s="424">
        <v>-1.7376484962941099</v>
      </c>
      <c r="E281" s="424">
        <v>0.21471157512625294</v>
      </c>
      <c r="F281" s="424">
        <v>2.0251885612900034</v>
      </c>
      <c r="G281" s="424">
        <v>-2.6694680425002462</v>
      </c>
      <c r="H281" s="424">
        <v>0</v>
      </c>
      <c r="I281" s="424">
        <v>0.54472976626997249</v>
      </c>
      <c r="J281" s="426">
        <v>0.52932445079022372</v>
      </c>
      <c r="K281" s="426">
        <v>0</v>
      </c>
      <c r="L281" s="424">
        <v>0</v>
      </c>
      <c r="M281" s="424">
        <v>0</v>
      </c>
      <c r="N281" s="424">
        <v>0</v>
      </c>
      <c r="O281" s="426">
        <v>0</v>
      </c>
      <c r="P281" s="426">
        <v>0</v>
      </c>
      <c r="Q281" s="424">
        <v>0</v>
      </c>
      <c r="R281" s="426">
        <v>0</v>
      </c>
      <c r="S281" s="426">
        <v>0</v>
      </c>
      <c r="T281" s="426">
        <v>0</v>
      </c>
      <c r="U281" s="426">
        <v>0.52932445079022372</v>
      </c>
      <c r="V281" s="421"/>
    </row>
    <row r="282" spans="1:22">
      <c r="A282" s="416"/>
      <c r="B282" s="394" t="s">
        <v>611</v>
      </c>
      <c r="C282" s="413">
        <v>0.12090683268874006</v>
      </c>
      <c r="D282" s="414">
        <v>0.22042909327891064</v>
      </c>
      <c r="E282" s="414">
        <v>0.24189404274670304</v>
      </c>
      <c r="F282" s="414">
        <v>0.32034944650421399</v>
      </c>
      <c r="G282" s="414">
        <v>0.12997500480676794</v>
      </c>
      <c r="H282" s="414">
        <v>0</v>
      </c>
      <c r="I282" s="414">
        <v>0.85956321127255908</v>
      </c>
      <c r="J282" s="415">
        <v>0.4714079765528984</v>
      </c>
      <c r="K282" s="415">
        <v>0</v>
      </c>
      <c r="L282" s="414">
        <v>0</v>
      </c>
      <c r="M282" s="414">
        <v>0</v>
      </c>
      <c r="N282" s="414">
        <v>0</v>
      </c>
      <c r="O282" s="415">
        <v>0</v>
      </c>
      <c r="P282" s="415">
        <v>0</v>
      </c>
      <c r="Q282" s="414">
        <v>0</v>
      </c>
      <c r="R282" s="415">
        <v>0</v>
      </c>
      <c r="S282" s="415">
        <v>0</v>
      </c>
      <c r="T282" s="415">
        <v>0</v>
      </c>
      <c r="U282" s="415">
        <v>0.4714079765528984</v>
      </c>
      <c r="V282" s="421"/>
    </row>
    <row r="283" spans="1:22">
      <c r="A283" s="416"/>
      <c r="B283" s="417" t="s">
        <v>612</v>
      </c>
      <c r="C283" s="418">
        <v>0.1275734841165371</v>
      </c>
      <c r="D283" s="419">
        <v>0.22573697671288195</v>
      </c>
      <c r="E283" s="419">
        <v>0.24598113108100986</v>
      </c>
      <c r="F283" s="419">
        <v>0.35066617479259787</v>
      </c>
      <c r="G283" s="419">
        <v>0.13591810063167065</v>
      </c>
      <c r="H283" s="419">
        <v>0</v>
      </c>
      <c r="I283" s="419">
        <v>0.85084591736903936</v>
      </c>
      <c r="J283" s="420">
        <v>0.46599853123271068</v>
      </c>
      <c r="K283" s="420">
        <v>0</v>
      </c>
      <c r="L283" s="419">
        <v>0</v>
      </c>
      <c r="M283" s="419">
        <v>0</v>
      </c>
      <c r="N283" s="419">
        <v>0</v>
      </c>
      <c r="O283" s="420">
        <v>0</v>
      </c>
      <c r="P283" s="420">
        <v>0</v>
      </c>
      <c r="Q283" s="419">
        <v>0</v>
      </c>
      <c r="R283" s="420">
        <v>0</v>
      </c>
      <c r="S283" s="420">
        <v>0</v>
      </c>
      <c r="T283" s="420">
        <v>0</v>
      </c>
      <c r="U283" s="420">
        <v>0.46599853123271068</v>
      </c>
      <c r="V283" s="421"/>
    </row>
    <row r="284" spans="1:22" s="439" customFormat="1">
      <c r="A284" s="416"/>
      <c r="B284" s="422" t="s">
        <v>613</v>
      </c>
      <c r="C284" s="423">
        <v>0.66666514277970434</v>
      </c>
      <c r="D284" s="424">
        <v>0.53078834339713166</v>
      </c>
      <c r="E284" s="424">
        <v>0.40870883343068209</v>
      </c>
      <c r="F284" s="424">
        <v>3.0316728288383885</v>
      </c>
      <c r="G284" s="424">
        <v>0.5943095824902711</v>
      </c>
      <c r="H284" s="424">
        <v>0</v>
      </c>
      <c r="I284" s="424">
        <v>-0.87172939035197183</v>
      </c>
      <c r="J284" s="426">
        <v>-0.54094453201877224</v>
      </c>
      <c r="K284" s="426">
        <v>0</v>
      </c>
      <c r="L284" s="424">
        <v>0</v>
      </c>
      <c r="M284" s="424">
        <v>0</v>
      </c>
      <c r="N284" s="424">
        <v>0</v>
      </c>
      <c r="O284" s="426">
        <v>0</v>
      </c>
      <c r="P284" s="426">
        <v>0</v>
      </c>
      <c r="Q284" s="424">
        <v>0</v>
      </c>
      <c r="R284" s="426">
        <v>0</v>
      </c>
      <c r="S284" s="426">
        <v>0</v>
      </c>
      <c r="T284" s="426">
        <v>0</v>
      </c>
      <c r="U284" s="426">
        <v>-0.54094453201877224</v>
      </c>
      <c r="V284" s="421"/>
    </row>
    <row r="285" spans="1:22">
      <c r="A285" s="416"/>
      <c r="B285" s="394" t="s">
        <v>614</v>
      </c>
      <c r="C285" s="413">
        <v>3.1946671697638588E-3</v>
      </c>
      <c r="D285" s="414">
        <v>0</v>
      </c>
      <c r="E285" s="414">
        <v>0</v>
      </c>
      <c r="F285" s="414">
        <v>5.9550334211059347E-2</v>
      </c>
      <c r="G285" s="414">
        <v>0</v>
      </c>
      <c r="H285" s="414">
        <v>0</v>
      </c>
      <c r="I285" s="414">
        <v>1.3341437587684592E-3</v>
      </c>
      <c r="J285" s="415">
        <v>6.7250146584055936E-3</v>
      </c>
      <c r="K285" s="415">
        <v>0</v>
      </c>
      <c r="L285" s="414">
        <v>0</v>
      </c>
      <c r="M285" s="414">
        <v>0</v>
      </c>
      <c r="N285" s="414">
        <v>0</v>
      </c>
      <c r="O285" s="415">
        <v>0</v>
      </c>
      <c r="P285" s="415">
        <v>0</v>
      </c>
      <c r="Q285" s="414">
        <v>0</v>
      </c>
      <c r="R285" s="415">
        <v>0</v>
      </c>
      <c r="S285" s="415">
        <v>0</v>
      </c>
      <c r="T285" s="415">
        <v>0</v>
      </c>
      <c r="U285" s="415">
        <v>6.7250146584055936E-3</v>
      </c>
      <c r="V285" s="421"/>
    </row>
    <row r="286" spans="1:22">
      <c r="A286" s="416"/>
      <c r="B286" s="417" t="s">
        <v>615</v>
      </c>
      <c r="C286" s="418">
        <v>2.2371074524857831E-3</v>
      </c>
      <c r="D286" s="419">
        <v>0</v>
      </c>
      <c r="E286" s="419">
        <v>0</v>
      </c>
      <c r="F286" s="419">
        <v>5.3705784953801017E-2</v>
      </c>
      <c r="G286" s="419">
        <v>0</v>
      </c>
      <c r="H286" s="419">
        <v>0</v>
      </c>
      <c r="I286" s="419">
        <v>1.0847718499658195E-3</v>
      </c>
      <c r="J286" s="420">
        <v>6.1582843744236899E-3</v>
      </c>
      <c r="K286" s="420">
        <v>0</v>
      </c>
      <c r="L286" s="419">
        <v>0</v>
      </c>
      <c r="M286" s="419">
        <v>0</v>
      </c>
      <c r="N286" s="419">
        <v>0</v>
      </c>
      <c r="O286" s="420">
        <v>0</v>
      </c>
      <c r="P286" s="420">
        <v>0</v>
      </c>
      <c r="Q286" s="419">
        <v>0</v>
      </c>
      <c r="R286" s="420">
        <v>0</v>
      </c>
      <c r="S286" s="420">
        <v>0</v>
      </c>
      <c r="T286" s="420">
        <v>0</v>
      </c>
      <c r="U286" s="420">
        <v>6.1582843744236899E-3</v>
      </c>
      <c r="V286" s="421"/>
    </row>
    <row r="287" spans="1:22" s="439" customFormat="1">
      <c r="A287" s="416"/>
      <c r="B287" s="422" t="s">
        <v>616</v>
      </c>
      <c r="C287" s="423">
        <v>-9.575597172780756E-2</v>
      </c>
      <c r="D287" s="424">
        <v>0</v>
      </c>
      <c r="E287" s="424">
        <v>0</v>
      </c>
      <c r="F287" s="424">
        <v>-0.58445492572583302</v>
      </c>
      <c r="G287" s="424">
        <v>0</v>
      </c>
      <c r="H287" s="424">
        <v>0</v>
      </c>
      <c r="I287" s="424">
        <v>-2.4937190880263967E-2</v>
      </c>
      <c r="J287" s="426">
        <v>-5.6673028398190363E-2</v>
      </c>
      <c r="K287" s="426">
        <v>0</v>
      </c>
      <c r="L287" s="424">
        <v>0</v>
      </c>
      <c r="M287" s="424">
        <v>0</v>
      </c>
      <c r="N287" s="424">
        <v>0</v>
      </c>
      <c r="O287" s="426">
        <v>0</v>
      </c>
      <c r="P287" s="426">
        <v>0</v>
      </c>
      <c r="Q287" s="424">
        <v>0</v>
      </c>
      <c r="R287" s="426">
        <v>0</v>
      </c>
      <c r="S287" s="426">
        <v>0</v>
      </c>
      <c r="T287" s="426">
        <v>0</v>
      </c>
      <c r="U287" s="426">
        <v>-5.6673028398190363E-2</v>
      </c>
      <c r="V287" s="421"/>
    </row>
    <row r="288" spans="1:22">
      <c r="A288" s="416"/>
      <c r="B288" s="394" t="s">
        <v>617</v>
      </c>
      <c r="C288" s="413">
        <v>0</v>
      </c>
      <c r="D288" s="414">
        <v>0</v>
      </c>
      <c r="E288" s="414">
        <v>0</v>
      </c>
      <c r="F288" s="414">
        <v>0</v>
      </c>
      <c r="G288" s="414">
        <v>0</v>
      </c>
      <c r="H288" s="414">
        <v>0</v>
      </c>
      <c r="I288" s="414">
        <v>0</v>
      </c>
      <c r="J288" s="415">
        <v>0</v>
      </c>
      <c r="K288" s="415">
        <v>0</v>
      </c>
      <c r="L288" s="414">
        <v>0</v>
      </c>
      <c r="M288" s="414">
        <v>0</v>
      </c>
      <c r="N288" s="414">
        <v>0</v>
      </c>
      <c r="O288" s="415">
        <v>0</v>
      </c>
      <c r="P288" s="415">
        <v>0</v>
      </c>
      <c r="Q288" s="414">
        <v>0</v>
      </c>
      <c r="R288" s="415">
        <v>0</v>
      </c>
      <c r="S288" s="415">
        <v>0</v>
      </c>
      <c r="T288" s="415">
        <v>0</v>
      </c>
      <c r="U288" s="415">
        <v>0</v>
      </c>
      <c r="V288" s="421"/>
    </row>
    <row r="289" spans="1:22">
      <c r="A289" s="416"/>
      <c r="B289" s="417" t="s">
        <v>618</v>
      </c>
      <c r="C289" s="418">
        <v>0</v>
      </c>
      <c r="D289" s="419">
        <v>0</v>
      </c>
      <c r="E289" s="419">
        <v>0</v>
      </c>
      <c r="F289" s="419">
        <v>0</v>
      </c>
      <c r="G289" s="419">
        <v>0</v>
      </c>
      <c r="H289" s="419">
        <v>0</v>
      </c>
      <c r="I289" s="419">
        <v>0</v>
      </c>
      <c r="J289" s="420">
        <v>0</v>
      </c>
      <c r="K289" s="420">
        <v>0</v>
      </c>
      <c r="L289" s="419">
        <v>0</v>
      </c>
      <c r="M289" s="419">
        <v>0</v>
      </c>
      <c r="N289" s="419">
        <v>0</v>
      </c>
      <c r="O289" s="420">
        <v>0</v>
      </c>
      <c r="P289" s="420">
        <v>0</v>
      </c>
      <c r="Q289" s="419">
        <v>0</v>
      </c>
      <c r="R289" s="420">
        <v>0</v>
      </c>
      <c r="S289" s="420">
        <v>0</v>
      </c>
      <c r="T289" s="420">
        <v>0</v>
      </c>
      <c r="U289" s="420">
        <v>0</v>
      </c>
      <c r="V289" s="421"/>
    </row>
    <row r="290" spans="1:22" s="439" customFormat="1">
      <c r="A290" s="416"/>
      <c r="B290" s="422" t="s">
        <v>619</v>
      </c>
      <c r="C290" s="423">
        <v>0</v>
      </c>
      <c r="D290" s="424">
        <v>0</v>
      </c>
      <c r="E290" s="424">
        <v>0</v>
      </c>
      <c r="F290" s="424">
        <v>0</v>
      </c>
      <c r="G290" s="424">
        <v>0</v>
      </c>
      <c r="H290" s="424">
        <v>0</v>
      </c>
      <c r="I290" s="424">
        <v>0</v>
      </c>
      <c r="J290" s="426">
        <v>0</v>
      </c>
      <c r="K290" s="426">
        <v>0</v>
      </c>
      <c r="L290" s="424">
        <v>0</v>
      </c>
      <c r="M290" s="424">
        <v>0</v>
      </c>
      <c r="N290" s="424">
        <v>0</v>
      </c>
      <c r="O290" s="426">
        <v>0</v>
      </c>
      <c r="P290" s="426">
        <v>0</v>
      </c>
      <c r="Q290" s="424">
        <v>0</v>
      </c>
      <c r="R290" s="426">
        <v>0</v>
      </c>
      <c r="S290" s="426">
        <v>0</v>
      </c>
      <c r="T290" s="426">
        <v>0</v>
      </c>
      <c r="U290" s="426">
        <v>0</v>
      </c>
      <c r="V290" s="421"/>
    </row>
    <row r="291" spans="1:22">
      <c r="A291" s="416"/>
      <c r="B291" s="394" t="s">
        <v>620</v>
      </c>
      <c r="C291" s="413">
        <v>0</v>
      </c>
      <c r="D291" s="414">
        <v>0</v>
      </c>
      <c r="E291" s="414">
        <v>0</v>
      </c>
      <c r="F291" s="414">
        <v>0</v>
      </c>
      <c r="G291" s="414">
        <v>0</v>
      </c>
      <c r="H291" s="414">
        <v>0</v>
      </c>
      <c r="I291" s="414">
        <v>0</v>
      </c>
      <c r="J291" s="415">
        <v>0</v>
      </c>
      <c r="K291" s="415">
        <v>0</v>
      </c>
      <c r="L291" s="414">
        <v>0</v>
      </c>
      <c r="M291" s="414">
        <v>0</v>
      </c>
      <c r="N291" s="414">
        <v>0</v>
      </c>
      <c r="O291" s="415">
        <v>0</v>
      </c>
      <c r="P291" s="415">
        <v>0</v>
      </c>
      <c r="Q291" s="414">
        <v>0</v>
      </c>
      <c r="R291" s="415">
        <v>0</v>
      </c>
      <c r="S291" s="415">
        <v>0</v>
      </c>
      <c r="T291" s="415">
        <v>0</v>
      </c>
      <c r="U291" s="415">
        <v>0</v>
      </c>
      <c r="V291" s="421"/>
    </row>
    <row r="292" spans="1:22">
      <c r="A292" s="416"/>
      <c r="B292" s="417" t="s">
        <v>621</v>
      </c>
      <c r="C292" s="418">
        <v>0</v>
      </c>
      <c r="D292" s="419">
        <v>0</v>
      </c>
      <c r="E292" s="419">
        <v>0</v>
      </c>
      <c r="F292" s="419">
        <v>0</v>
      </c>
      <c r="G292" s="419">
        <v>0</v>
      </c>
      <c r="H292" s="419">
        <v>0</v>
      </c>
      <c r="I292" s="419">
        <v>0</v>
      </c>
      <c r="J292" s="420">
        <v>0</v>
      </c>
      <c r="K292" s="420">
        <v>0</v>
      </c>
      <c r="L292" s="419">
        <v>0</v>
      </c>
      <c r="M292" s="419">
        <v>0</v>
      </c>
      <c r="N292" s="419">
        <v>0</v>
      </c>
      <c r="O292" s="420">
        <v>0</v>
      </c>
      <c r="P292" s="420">
        <v>0</v>
      </c>
      <c r="Q292" s="419">
        <v>0</v>
      </c>
      <c r="R292" s="420">
        <v>0</v>
      </c>
      <c r="S292" s="420">
        <v>0</v>
      </c>
      <c r="T292" s="420">
        <v>0</v>
      </c>
      <c r="U292" s="420">
        <v>0</v>
      </c>
      <c r="V292" s="421"/>
    </row>
    <row r="293" spans="1:22" s="439" customFormat="1" ht="15" thickBot="1">
      <c r="A293" s="432"/>
      <c r="B293" s="433" t="s">
        <v>622</v>
      </c>
      <c r="C293" s="434">
        <v>0</v>
      </c>
      <c r="D293" s="435">
        <v>0</v>
      </c>
      <c r="E293" s="435">
        <v>0</v>
      </c>
      <c r="F293" s="435">
        <v>0</v>
      </c>
      <c r="G293" s="435">
        <v>0</v>
      </c>
      <c r="H293" s="435">
        <v>0</v>
      </c>
      <c r="I293" s="435">
        <v>0</v>
      </c>
      <c r="J293" s="436">
        <v>0</v>
      </c>
      <c r="K293" s="436">
        <v>0</v>
      </c>
      <c r="L293" s="435">
        <v>0</v>
      </c>
      <c r="M293" s="435">
        <v>0</v>
      </c>
      <c r="N293" s="435">
        <v>0</v>
      </c>
      <c r="O293" s="436">
        <v>0</v>
      </c>
      <c r="P293" s="436">
        <v>0</v>
      </c>
      <c r="Q293" s="435">
        <v>0</v>
      </c>
      <c r="R293" s="436">
        <v>0</v>
      </c>
      <c r="S293" s="436">
        <v>0</v>
      </c>
      <c r="T293" s="436">
        <v>0</v>
      </c>
      <c r="U293" s="436">
        <v>0</v>
      </c>
      <c r="V293" s="421"/>
    </row>
    <row r="294" spans="1:22">
      <c r="A294" s="412" t="s">
        <v>276</v>
      </c>
      <c r="B294" s="394" t="s">
        <v>587</v>
      </c>
      <c r="C294" s="413">
        <v>0.79963488708531905</v>
      </c>
      <c r="D294" s="414">
        <v>0.67451055586043651</v>
      </c>
      <c r="E294" s="414">
        <v>0</v>
      </c>
      <c r="F294" s="414">
        <v>0.65552458290678695</v>
      </c>
      <c r="G294" s="414">
        <v>0</v>
      </c>
      <c r="H294" s="414">
        <v>0</v>
      </c>
      <c r="I294" s="414">
        <v>0</v>
      </c>
      <c r="J294" s="415">
        <v>0.7668787240230639</v>
      </c>
      <c r="K294" s="415">
        <v>0</v>
      </c>
      <c r="L294" s="414">
        <v>0.67519650885826654</v>
      </c>
      <c r="M294" s="414">
        <v>0.69382279468814612</v>
      </c>
      <c r="N294" s="414">
        <v>0.75163609461843428</v>
      </c>
      <c r="O294" s="415">
        <v>0.68840672441146411</v>
      </c>
      <c r="P294" s="415">
        <v>0</v>
      </c>
      <c r="Q294" s="414">
        <v>0</v>
      </c>
      <c r="R294" s="415">
        <v>0</v>
      </c>
      <c r="S294" s="415">
        <v>0</v>
      </c>
      <c r="T294" s="415">
        <v>0</v>
      </c>
      <c r="U294" s="415">
        <v>0.72745454755764494</v>
      </c>
      <c r="V294" s="421"/>
    </row>
    <row r="295" spans="1:22">
      <c r="A295" s="416"/>
      <c r="B295" s="417" t="s">
        <v>588</v>
      </c>
      <c r="C295" s="418">
        <v>0.7833473519138926</v>
      </c>
      <c r="D295" s="419">
        <v>0.65607948472745681</v>
      </c>
      <c r="E295" s="419">
        <v>0</v>
      </c>
      <c r="F295" s="419">
        <v>0.60465980031433231</v>
      </c>
      <c r="G295" s="419">
        <v>0</v>
      </c>
      <c r="H295" s="419">
        <v>0</v>
      </c>
      <c r="I295" s="419">
        <v>0</v>
      </c>
      <c r="J295" s="420">
        <v>0.74564186359618179</v>
      </c>
      <c r="K295" s="420">
        <v>0</v>
      </c>
      <c r="L295" s="419">
        <v>0.94426664215501943</v>
      </c>
      <c r="M295" s="419">
        <v>0.95908166247907434</v>
      </c>
      <c r="N295" s="419">
        <v>0.99315899055071266</v>
      </c>
      <c r="O295" s="420">
        <v>0.95391674613140476</v>
      </c>
      <c r="P295" s="420">
        <v>0</v>
      </c>
      <c r="Q295" s="419">
        <v>0</v>
      </c>
      <c r="R295" s="420">
        <v>0</v>
      </c>
      <c r="S295" s="420">
        <v>0</v>
      </c>
      <c r="T295" s="420">
        <v>0</v>
      </c>
      <c r="U295" s="420">
        <v>0.80569451721629293</v>
      </c>
      <c r="V295" s="421"/>
    </row>
    <row r="296" spans="1:22" s="439" customFormat="1">
      <c r="A296" s="416"/>
      <c r="B296" s="422" t="s">
        <v>589</v>
      </c>
      <c r="C296" s="423">
        <v>-1.6287535171426448</v>
      </c>
      <c r="D296" s="424">
        <v>-1.8431071132979704</v>
      </c>
      <c r="E296" s="424">
        <v>0</v>
      </c>
      <c r="F296" s="424">
        <v>-5.0864782592454638</v>
      </c>
      <c r="G296" s="424">
        <v>0</v>
      </c>
      <c r="H296" s="424">
        <v>0</v>
      </c>
      <c r="I296" s="424">
        <v>0</v>
      </c>
      <c r="J296" s="426">
        <v>-2.1236860426882109</v>
      </c>
      <c r="K296" s="426">
        <v>0</v>
      </c>
      <c r="L296" s="424">
        <v>26.907013329675287</v>
      </c>
      <c r="M296" s="424">
        <v>26.525886779092822</v>
      </c>
      <c r="N296" s="424">
        <v>24.152289593227838</v>
      </c>
      <c r="O296" s="426">
        <v>26.551002171994064</v>
      </c>
      <c r="P296" s="426">
        <v>0</v>
      </c>
      <c r="Q296" s="424">
        <v>0</v>
      </c>
      <c r="R296" s="426">
        <v>0</v>
      </c>
      <c r="S296" s="426">
        <v>0</v>
      </c>
      <c r="T296" s="426">
        <v>0</v>
      </c>
      <c r="U296" s="426">
        <v>7.823996965864799</v>
      </c>
      <c r="V296" s="421"/>
    </row>
    <row r="297" spans="1:22">
      <c r="A297" s="416"/>
      <c r="B297" s="394" t="s">
        <v>590</v>
      </c>
      <c r="C297" s="413">
        <v>4.7892512347216282E-2</v>
      </c>
      <c r="D297" s="414">
        <v>1.6483407496545293E-2</v>
      </c>
      <c r="E297" s="414">
        <v>0</v>
      </c>
      <c r="F297" s="414">
        <v>2.8857593448247239E-2</v>
      </c>
      <c r="G297" s="414">
        <v>0</v>
      </c>
      <c r="H297" s="414">
        <v>0</v>
      </c>
      <c r="I297" s="414">
        <v>0</v>
      </c>
      <c r="J297" s="415">
        <v>4.2349122668549379E-2</v>
      </c>
      <c r="K297" s="415">
        <v>0</v>
      </c>
      <c r="L297" s="414">
        <v>5.4438784948472797E-2</v>
      </c>
      <c r="M297" s="414">
        <v>2.9025935875644136E-2</v>
      </c>
      <c r="N297" s="414">
        <v>3.6041504637972571E-3</v>
      </c>
      <c r="O297" s="415">
        <v>3.9433125067263923E-2</v>
      </c>
      <c r="P297" s="415">
        <v>0</v>
      </c>
      <c r="Q297" s="414">
        <v>0</v>
      </c>
      <c r="R297" s="415">
        <v>0</v>
      </c>
      <c r="S297" s="415">
        <v>0</v>
      </c>
      <c r="T297" s="415">
        <v>0</v>
      </c>
      <c r="U297" s="415">
        <v>4.0884131275761897E-2</v>
      </c>
      <c r="V297" s="421"/>
    </row>
    <row r="298" spans="1:22">
      <c r="A298" s="416"/>
      <c r="B298" s="417" t="s">
        <v>591</v>
      </c>
      <c r="C298" s="418">
        <v>4.3417207213628912E-2</v>
      </c>
      <c r="D298" s="419">
        <v>1.9371941272430668E-2</v>
      </c>
      <c r="E298" s="419">
        <v>0</v>
      </c>
      <c r="F298" s="419">
        <v>3.4156352452470132E-2</v>
      </c>
      <c r="G298" s="419">
        <v>0</v>
      </c>
      <c r="H298" s="419">
        <v>0</v>
      </c>
      <c r="I298" s="419">
        <v>0</v>
      </c>
      <c r="J298" s="420">
        <v>4.0106969843337094E-2</v>
      </c>
      <c r="K298" s="420">
        <v>0</v>
      </c>
      <c r="L298" s="419">
        <v>5.5733357844980541E-2</v>
      </c>
      <c r="M298" s="419">
        <v>4.0918337520925663E-2</v>
      </c>
      <c r="N298" s="419">
        <v>6.8410094492872995E-3</v>
      </c>
      <c r="O298" s="420">
        <v>4.6083253868595221E-2</v>
      </c>
      <c r="P298" s="420">
        <v>0</v>
      </c>
      <c r="Q298" s="419">
        <v>0</v>
      </c>
      <c r="R298" s="420">
        <v>0</v>
      </c>
      <c r="S298" s="420">
        <v>0</v>
      </c>
      <c r="T298" s="420">
        <v>0</v>
      </c>
      <c r="U298" s="420">
        <v>4.1830133530362745E-2</v>
      </c>
      <c r="V298" s="421"/>
    </row>
    <row r="299" spans="1:22" s="439" customFormat="1">
      <c r="A299" s="416"/>
      <c r="B299" s="422" t="s">
        <v>592</v>
      </c>
      <c r="C299" s="423">
        <v>-0.44753051335873695</v>
      </c>
      <c r="D299" s="424">
        <v>0.28885337758853757</v>
      </c>
      <c r="E299" s="424">
        <v>0</v>
      </c>
      <c r="F299" s="424">
        <v>0.52987590042228927</v>
      </c>
      <c r="G299" s="424">
        <v>0</v>
      </c>
      <c r="H299" s="424">
        <v>0</v>
      </c>
      <c r="I299" s="424">
        <v>0</v>
      </c>
      <c r="J299" s="426">
        <v>-0.22421528252122847</v>
      </c>
      <c r="K299" s="426">
        <v>0</v>
      </c>
      <c r="L299" s="424">
        <v>0.12945728965077438</v>
      </c>
      <c r="M299" s="424">
        <v>1.1892401645281527</v>
      </c>
      <c r="N299" s="424">
        <v>0.32368589854900426</v>
      </c>
      <c r="O299" s="426">
        <v>0.66501288013312987</v>
      </c>
      <c r="P299" s="426">
        <v>0</v>
      </c>
      <c r="Q299" s="424">
        <v>0</v>
      </c>
      <c r="R299" s="426">
        <v>0</v>
      </c>
      <c r="S299" s="426">
        <v>0</v>
      </c>
      <c r="T299" s="426">
        <v>0</v>
      </c>
      <c r="U299" s="426">
        <v>9.4600225460084869E-2</v>
      </c>
      <c r="V299" s="421"/>
    </row>
    <row r="300" spans="1:22">
      <c r="A300" s="416"/>
      <c r="B300" s="394" t="s">
        <v>593</v>
      </c>
      <c r="C300" s="413">
        <v>0.13954678035825907</v>
      </c>
      <c r="D300" s="414">
        <v>0.30900603664301818</v>
      </c>
      <c r="E300" s="414">
        <v>0</v>
      </c>
      <c r="F300" s="414">
        <v>0.31248443682040783</v>
      </c>
      <c r="G300" s="414">
        <v>0</v>
      </c>
      <c r="H300" s="414">
        <v>0</v>
      </c>
      <c r="I300" s="414">
        <v>0</v>
      </c>
      <c r="J300" s="415">
        <v>0.18043381658912733</v>
      </c>
      <c r="K300" s="415">
        <v>0</v>
      </c>
      <c r="L300" s="414">
        <v>0.27036470619326064</v>
      </c>
      <c r="M300" s="414">
        <v>0.27715126943620977</v>
      </c>
      <c r="N300" s="414">
        <v>0.24475975491776847</v>
      </c>
      <c r="O300" s="415">
        <v>0.27216015052127202</v>
      </c>
      <c r="P300" s="415">
        <v>0</v>
      </c>
      <c r="Q300" s="414">
        <v>0</v>
      </c>
      <c r="R300" s="415">
        <v>0</v>
      </c>
      <c r="S300" s="415">
        <v>0</v>
      </c>
      <c r="T300" s="415">
        <v>0</v>
      </c>
      <c r="U300" s="415">
        <v>0.22651694424441224</v>
      </c>
      <c r="V300" s="421"/>
    </row>
    <row r="301" spans="1:22">
      <c r="A301" s="416"/>
      <c r="B301" s="417" t="s">
        <v>594</v>
      </c>
      <c r="C301" s="418">
        <v>0.16056597048969989</v>
      </c>
      <c r="D301" s="419">
        <v>0.3245485740001125</v>
      </c>
      <c r="E301" s="419">
        <v>0</v>
      </c>
      <c r="F301" s="419">
        <v>0.35816479596654749</v>
      </c>
      <c r="G301" s="419">
        <v>0</v>
      </c>
      <c r="H301" s="419">
        <v>0</v>
      </c>
      <c r="I301" s="419">
        <v>0</v>
      </c>
      <c r="J301" s="420">
        <v>0.20406850655831829</v>
      </c>
      <c r="K301" s="420">
        <v>0</v>
      </c>
      <c r="L301" s="419">
        <v>0</v>
      </c>
      <c r="M301" s="419">
        <v>0</v>
      </c>
      <c r="N301" s="419">
        <v>0</v>
      </c>
      <c r="O301" s="420">
        <v>0</v>
      </c>
      <c r="P301" s="420">
        <v>0</v>
      </c>
      <c r="Q301" s="419">
        <v>0</v>
      </c>
      <c r="R301" s="420">
        <v>0</v>
      </c>
      <c r="S301" s="420">
        <v>0</v>
      </c>
      <c r="T301" s="420">
        <v>0</v>
      </c>
      <c r="U301" s="420">
        <v>0.14522869260692853</v>
      </c>
      <c r="V301" s="421"/>
    </row>
    <row r="302" spans="1:22" s="439" customFormat="1">
      <c r="A302" s="416"/>
      <c r="B302" s="422" t="s">
        <v>595</v>
      </c>
      <c r="C302" s="423">
        <v>2.1019190131440824</v>
      </c>
      <c r="D302" s="424">
        <v>1.5542537357094321</v>
      </c>
      <c r="E302" s="424">
        <v>0</v>
      </c>
      <c r="F302" s="424">
        <v>4.568035914613966</v>
      </c>
      <c r="G302" s="424">
        <v>0</v>
      </c>
      <c r="H302" s="424">
        <v>0</v>
      </c>
      <c r="I302" s="424">
        <v>0</v>
      </c>
      <c r="J302" s="426">
        <v>2.3634689969190963</v>
      </c>
      <c r="K302" s="426">
        <v>0</v>
      </c>
      <c r="L302" s="424">
        <v>-27.036470619326064</v>
      </c>
      <c r="M302" s="424">
        <v>-27.715126943620977</v>
      </c>
      <c r="N302" s="424">
        <v>-24.475975491776847</v>
      </c>
      <c r="O302" s="426">
        <v>-27.216015052127201</v>
      </c>
      <c r="P302" s="426">
        <v>0</v>
      </c>
      <c r="Q302" s="424">
        <v>0</v>
      </c>
      <c r="R302" s="426">
        <v>0</v>
      </c>
      <c r="S302" s="426">
        <v>0</v>
      </c>
      <c r="T302" s="426">
        <v>0</v>
      </c>
      <c r="U302" s="426">
        <v>-8.1288251637483704</v>
      </c>
      <c r="V302" s="421"/>
    </row>
    <row r="303" spans="1:22">
      <c r="A303" s="416"/>
      <c r="B303" s="394" t="s">
        <v>596</v>
      </c>
      <c r="C303" s="413">
        <v>9.8046936804815008E-3</v>
      </c>
      <c r="D303" s="414">
        <v>0</v>
      </c>
      <c r="E303" s="414">
        <v>0</v>
      </c>
      <c r="F303" s="414">
        <v>0</v>
      </c>
      <c r="G303" s="414">
        <v>0</v>
      </c>
      <c r="H303" s="414">
        <v>0</v>
      </c>
      <c r="I303" s="414">
        <v>0</v>
      </c>
      <c r="J303" s="415">
        <v>7.4704808159090589E-3</v>
      </c>
      <c r="K303" s="415">
        <v>0</v>
      </c>
      <c r="L303" s="414">
        <v>0</v>
      </c>
      <c r="M303" s="414">
        <v>0</v>
      </c>
      <c r="N303" s="414">
        <v>0</v>
      </c>
      <c r="O303" s="415">
        <v>0</v>
      </c>
      <c r="P303" s="415">
        <v>0</v>
      </c>
      <c r="Q303" s="414">
        <v>0</v>
      </c>
      <c r="R303" s="415">
        <v>0</v>
      </c>
      <c r="S303" s="415">
        <v>0</v>
      </c>
      <c r="T303" s="415">
        <v>0</v>
      </c>
      <c r="U303" s="415">
        <v>3.7173261183653236E-3</v>
      </c>
      <c r="V303" s="421"/>
    </row>
    <row r="304" spans="1:22">
      <c r="A304" s="416"/>
      <c r="B304" s="417" t="s">
        <v>597</v>
      </c>
      <c r="C304" s="418">
        <v>8.9400527478793925E-3</v>
      </c>
      <c r="D304" s="419">
        <v>0</v>
      </c>
      <c r="E304" s="419">
        <v>0</v>
      </c>
      <c r="F304" s="419">
        <v>0</v>
      </c>
      <c r="G304" s="419">
        <v>0</v>
      </c>
      <c r="H304" s="419">
        <v>0</v>
      </c>
      <c r="I304" s="419">
        <v>0</v>
      </c>
      <c r="J304" s="420">
        <v>6.8536504103856796E-3</v>
      </c>
      <c r="K304" s="420">
        <v>0</v>
      </c>
      <c r="L304" s="419">
        <v>0</v>
      </c>
      <c r="M304" s="419">
        <v>0</v>
      </c>
      <c r="N304" s="419">
        <v>0</v>
      </c>
      <c r="O304" s="420">
        <v>0</v>
      </c>
      <c r="P304" s="420">
        <v>0</v>
      </c>
      <c r="Q304" s="419">
        <v>0</v>
      </c>
      <c r="R304" s="420">
        <v>0</v>
      </c>
      <c r="S304" s="420">
        <v>0</v>
      </c>
      <c r="T304" s="420">
        <v>0</v>
      </c>
      <c r="U304" s="420">
        <v>4.8775124857436203E-3</v>
      </c>
      <c r="V304" s="421"/>
    </row>
    <row r="305" spans="1:22" s="439" customFormat="1">
      <c r="A305" s="416"/>
      <c r="B305" s="422" t="s">
        <v>598</v>
      </c>
      <c r="C305" s="423">
        <v>-8.6464093260210817E-2</v>
      </c>
      <c r="D305" s="424">
        <v>0</v>
      </c>
      <c r="E305" s="424">
        <v>0</v>
      </c>
      <c r="F305" s="424">
        <v>0</v>
      </c>
      <c r="G305" s="424">
        <v>0</v>
      </c>
      <c r="H305" s="424">
        <v>0</v>
      </c>
      <c r="I305" s="424">
        <v>0</v>
      </c>
      <c r="J305" s="426">
        <v>-6.1683040552337927E-2</v>
      </c>
      <c r="K305" s="426">
        <v>0</v>
      </c>
      <c r="L305" s="424">
        <v>0</v>
      </c>
      <c r="M305" s="424">
        <v>0</v>
      </c>
      <c r="N305" s="424">
        <v>0</v>
      </c>
      <c r="O305" s="426">
        <v>0</v>
      </c>
      <c r="P305" s="426">
        <v>0</v>
      </c>
      <c r="Q305" s="424">
        <v>0</v>
      </c>
      <c r="R305" s="426">
        <v>0</v>
      </c>
      <c r="S305" s="426">
        <v>0</v>
      </c>
      <c r="T305" s="426">
        <v>0</v>
      </c>
      <c r="U305" s="426">
        <v>0.11601863673782967</v>
      </c>
      <c r="V305" s="421"/>
    </row>
    <row r="306" spans="1:22">
      <c r="A306" s="416"/>
      <c r="B306" s="394" t="s">
        <v>599</v>
      </c>
      <c r="C306" s="413">
        <v>4.2570491412467622E-6</v>
      </c>
      <c r="D306" s="414">
        <v>0</v>
      </c>
      <c r="E306" s="414">
        <v>0</v>
      </c>
      <c r="F306" s="414">
        <v>4.1501812245801401E-5</v>
      </c>
      <c r="G306" s="414">
        <v>0</v>
      </c>
      <c r="H306" s="414">
        <v>0</v>
      </c>
      <c r="I306" s="414">
        <v>0</v>
      </c>
      <c r="J306" s="415">
        <v>9.7307080603779621E-6</v>
      </c>
      <c r="K306" s="415">
        <v>0</v>
      </c>
      <c r="L306" s="414">
        <v>0</v>
      </c>
      <c r="M306" s="414">
        <v>0</v>
      </c>
      <c r="N306" s="414">
        <v>0</v>
      </c>
      <c r="O306" s="415">
        <v>0</v>
      </c>
      <c r="P306" s="415">
        <v>0</v>
      </c>
      <c r="Q306" s="414">
        <v>0</v>
      </c>
      <c r="R306" s="415">
        <v>0</v>
      </c>
      <c r="S306" s="415">
        <v>0</v>
      </c>
      <c r="T306" s="415">
        <v>0</v>
      </c>
      <c r="U306" s="415">
        <v>4.842019692494089E-6</v>
      </c>
      <c r="V306" s="421"/>
    </row>
    <row r="307" spans="1:22">
      <c r="A307" s="416"/>
      <c r="B307" s="417" t="s">
        <v>600</v>
      </c>
      <c r="C307" s="418">
        <v>0</v>
      </c>
      <c r="D307" s="419">
        <v>0</v>
      </c>
      <c r="E307" s="419">
        <v>0</v>
      </c>
      <c r="F307" s="419">
        <v>1.1233679131720855E-4</v>
      </c>
      <c r="G307" s="419">
        <v>0</v>
      </c>
      <c r="H307" s="419">
        <v>0</v>
      </c>
      <c r="I307" s="419">
        <v>0</v>
      </c>
      <c r="J307" s="420">
        <v>1.7486590107825047E-5</v>
      </c>
      <c r="K307" s="420">
        <v>0</v>
      </c>
      <c r="L307" s="419">
        <v>0</v>
      </c>
      <c r="M307" s="419">
        <v>0</v>
      </c>
      <c r="N307" s="419">
        <v>0</v>
      </c>
      <c r="O307" s="420">
        <v>0</v>
      </c>
      <c r="P307" s="420">
        <v>0</v>
      </c>
      <c r="Q307" s="419">
        <v>0</v>
      </c>
      <c r="R307" s="420">
        <v>0</v>
      </c>
      <c r="S307" s="420">
        <v>0</v>
      </c>
      <c r="T307" s="420">
        <v>0</v>
      </c>
      <c r="U307" s="420">
        <v>1.2444618046866198E-5</v>
      </c>
      <c r="V307" s="421"/>
    </row>
    <row r="308" spans="1:22" s="439" customFormat="1">
      <c r="A308" s="416"/>
      <c r="B308" s="422" t="s">
        <v>601</v>
      </c>
      <c r="C308" s="423">
        <v>-4.2570491412467624E-4</v>
      </c>
      <c r="D308" s="424">
        <v>0</v>
      </c>
      <c r="E308" s="424">
        <v>0</v>
      </c>
      <c r="F308" s="424">
        <v>7.0834979071407152E-3</v>
      </c>
      <c r="G308" s="424">
        <v>0</v>
      </c>
      <c r="H308" s="424">
        <v>0</v>
      </c>
      <c r="I308" s="424">
        <v>0</v>
      </c>
      <c r="J308" s="426">
        <v>7.7558820474470851E-4</v>
      </c>
      <c r="K308" s="426">
        <v>0</v>
      </c>
      <c r="L308" s="424">
        <v>0</v>
      </c>
      <c r="M308" s="424">
        <v>0</v>
      </c>
      <c r="N308" s="424">
        <v>0</v>
      </c>
      <c r="O308" s="426">
        <v>0</v>
      </c>
      <c r="P308" s="426">
        <v>0</v>
      </c>
      <c r="Q308" s="424">
        <v>0</v>
      </c>
      <c r="R308" s="426">
        <v>0</v>
      </c>
      <c r="S308" s="426">
        <v>0</v>
      </c>
      <c r="T308" s="426">
        <v>0</v>
      </c>
      <c r="U308" s="426">
        <v>7.6025983543721084E-4</v>
      </c>
      <c r="V308" s="421"/>
    </row>
    <row r="309" spans="1:22">
      <c r="A309" s="416"/>
      <c r="B309" s="394" t="s">
        <v>602</v>
      </c>
      <c r="C309" s="413">
        <v>3.1168694795828374E-3</v>
      </c>
      <c r="D309" s="414">
        <v>0</v>
      </c>
      <c r="E309" s="414">
        <v>0</v>
      </c>
      <c r="F309" s="414">
        <v>3.0918850123122042E-3</v>
      </c>
      <c r="G309" s="414">
        <v>0</v>
      </c>
      <c r="H309" s="414">
        <v>0</v>
      </c>
      <c r="I309" s="414">
        <v>0</v>
      </c>
      <c r="J309" s="415">
        <v>2.8581251952899049E-3</v>
      </c>
      <c r="K309" s="415">
        <v>0</v>
      </c>
      <c r="L309" s="414">
        <v>0</v>
      </c>
      <c r="M309" s="414">
        <v>0</v>
      </c>
      <c r="N309" s="414">
        <v>0</v>
      </c>
      <c r="O309" s="415">
        <v>0</v>
      </c>
      <c r="P309" s="415">
        <v>0</v>
      </c>
      <c r="Q309" s="414">
        <v>0</v>
      </c>
      <c r="R309" s="415">
        <v>0</v>
      </c>
      <c r="S309" s="415">
        <v>0</v>
      </c>
      <c r="T309" s="415">
        <v>0</v>
      </c>
      <c r="U309" s="415">
        <v>1.422208784123125E-3</v>
      </c>
      <c r="V309" s="421"/>
    </row>
    <row r="310" spans="1:22">
      <c r="A310" s="416"/>
      <c r="B310" s="417" t="s">
        <v>603</v>
      </c>
      <c r="C310" s="418">
        <v>3.7294176348991377E-3</v>
      </c>
      <c r="D310" s="419">
        <v>0</v>
      </c>
      <c r="E310" s="419">
        <v>0</v>
      </c>
      <c r="F310" s="419">
        <v>2.9067144753327713E-3</v>
      </c>
      <c r="G310" s="419">
        <v>0</v>
      </c>
      <c r="H310" s="419">
        <v>0</v>
      </c>
      <c r="I310" s="419">
        <v>0</v>
      </c>
      <c r="J310" s="420">
        <v>3.3115230016693684E-3</v>
      </c>
      <c r="K310" s="420">
        <v>0</v>
      </c>
      <c r="L310" s="419">
        <v>0</v>
      </c>
      <c r="M310" s="419">
        <v>0</v>
      </c>
      <c r="N310" s="419">
        <v>0</v>
      </c>
      <c r="O310" s="420">
        <v>0</v>
      </c>
      <c r="P310" s="420">
        <v>0</v>
      </c>
      <c r="Q310" s="419">
        <v>0</v>
      </c>
      <c r="R310" s="420">
        <v>0</v>
      </c>
      <c r="S310" s="420">
        <v>0</v>
      </c>
      <c r="T310" s="420">
        <v>0</v>
      </c>
      <c r="U310" s="420">
        <v>2.3566995426252861E-3</v>
      </c>
      <c r="V310" s="421"/>
    </row>
    <row r="311" spans="1:22" s="439" customFormat="1" ht="15" thickBot="1">
      <c r="A311" s="416"/>
      <c r="B311" s="428" t="s">
        <v>604</v>
      </c>
      <c r="C311" s="429">
        <v>6.1254815531630029E-2</v>
      </c>
      <c r="D311" s="430">
        <v>0</v>
      </c>
      <c r="E311" s="430">
        <v>0</v>
      </c>
      <c r="F311" s="430">
        <v>-1.8517053697943285E-2</v>
      </c>
      <c r="G311" s="430">
        <v>0</v>
      </c>
      <c r="H311" s="430">
        <v>0</v>
      </c>
      <c r="I311" s="430">
        <v>0</v>
      </c>
      <c r="J311" s="431">
        <v>4.5339780637946359E-2</v>
      </c>
      <c r="K311" s="431">
        <v>0</v>
      </c>
      <c r="L311" s="430">
        <v>0</v>
      </c>
      <c r="M311" s="430">
        <v>0</v>
      </c>
      <c r="N311" s="430">
        <v>0</v>
      </c>
      <c r="O311" s="431">
        <v>0</v>
      </c>
      <c r="P311" s="431">
        <v>0</v>
      </c>
      <c r="Q311" s="430">
        <v>0</v>
      </c>
      <c r="R311" s="431">
        <v>0</v>
      </c>
      <c r="S311" s="431">
        <v>0</v>
      </c>
      <c r="T311" s="431">
        <v>0</v>
      </c>
      <c r="U311" s="431">
        <v>9.3449075850216112E-2</v>
      </c>
      <c r="V311" s="421"/>
    </row>
    <row r="312" spans="1:22" ht="15" thickTop="1">
      <c r="A312" s="416"/>
      <c r="B312" s="417" t="s">
        <v>605</v>
      </c>
      <c r="C312" s="418">
        <v>0.71888324347340737</v>
      </c>
      <c r="D312" s="419">
        <v>0.33298122465669405</v>
      </c>
      <c r="E312" s="419">
        <v>0</v>
      </c>
      <c r="F312" s="419">
        <v>0.2399198597545705</v>
      </c>
      <c r="G312" s="419">
        <v>0</v>
      </c>
      <c r="H312" s="419">
        <v>0</v>
      </c>
      <c r="I312" s="419">
        <v>0</v>
      </c>
      <c r="J312" s="420">
        <v>0.59360832037389022</v>
      </c>
      <c r="K312" s="420">
        <v>0</v>
      </c>
      <c r="L312" s="419">
        <v>0</v>
      </c>
      <c r="M312" s="419">
        <v>0</v>
      </c>
      <c r="N312" s="419">
        <v>0</v>
      </c>
      <c r="O312" s="420">
        <v>0</v>
      </c>
      <c r="P312" s="420">
        <v>0</v>
      </c>
      <c r="Q312" s="419">
        <v>0</v>
      </c>
      <c r="R312" s="420">
        <v>0</v>
      </c>
      <c r="S312" s="420">
        <v>0</v>
      </c>
      <c r="T312" s="420">
        <v>0</v>
      </c>
      <c r="U312" s="420">
        <v>0.59360832037389022</v>
      </c>
      <c r="V312" s="421"/>
    </row>
    <row r="313" spans="1:22">
      <c r="A313" s="416"/>
      <c r="B313" s="417" t="s">
        <v>606</v>
      </c>
      <c r="C313" s="418">
        <v>0.71950844675903103</v>
      </c>
      <c r="D313" s="419">
        <v>0.29717441821304685</v>
      </c>
      <c r="E313" s="419">
        <v>0</v>
      </c>
      <c r="F313" s="419">
        <v>0.23489607039902899</v>
      </c>
      <c r="G313" s="419">
        <v>0</v>
      </c>
      <c r="H313" s="419">
        <v>0</v>
      </c>
      <c r="I313" s="419">
        <v>0</v>
      </c>
      <c r="J313" s="420">
        <v>0.59822784487049141</v>
      </c>
      <c r="K313" s="420">
        <v>0</v>
      </c>
      <c r="L313" s="419">
        <v>0</v>
      </c>
      <c r="M313" s="419">
        <v>0</v>
      </c>
      <c r="N313" s="419">
        <v>0</v>
      </c>
      <c r="O313" s="420">
        <v>0</v>
      </c>
      <c r="P313" s="420">
        <v>0</v>
      </c>
      <c r="Q313" s="419">
        <v>0</v>
      </c>
      <c r="R313" s="420">
        <v>0</v>
      </c>
      <c r="S313" s="420">
        <v>0</v>
      </c>
      <c r="T313" s="420">
        <v>0</v>
      </c>
      <c r="U313" s="420">
        <v>0.59822784487049141</v>
      </c>
      <c r="V313" s="421"/>
    </row>
    <row r="314" spans="1:22" s="439" customFormat="1">
      <c r="A314" s="416"/>
      <c r="B314" s="422" t="s">
        <v>607</v>
      </c>
      <c r="C314" s="423">
        <v>6.2520328562365446E-2</v>
      </c>
      <c r="D314" s="424">
        <v>-3.5806806443647199</v>
      </c>
      <c r="E314" s="424">
        <v>0</v>
      </c>
      <c r="F314" s="424">
        <v>-0.50237893555415136</v>
      </c>
      <c r="G314" s="424">
        <v>0</v>
      </c>
      <c r="H314" s="424">
        <v>0</v>
      </c>
      <c r="I314" s="424">
        <v>0</v>
      </c>
      <c r="J314" s="426">
        <v>0.46195244966011906</v>
      </c>
      <c r="K314" s="426">
        <v>0</v>
      </c>
      <c r="L314" s="424">
        <v>0</v>
      </c>
      <c r="M314" s="424">
        <v>0</v>
      </c>
      <c r="N314" s="424">
        <v>0</v>
      </c>
      <c r="O314" s="426">
        <v>0</v>
      </c>
      <c r="P314" s="426">
        <v>0</v>
      </c>
      <c r="Q314" s="424">
        <v>0</v>
      </c>
      <c r="R314" s="426">
        <v>0</v>
      </c>
      <c r="S314" s="426">
        <v>0</v>
      </c>
      <c r="T314" s="426">
        <v>0</v>
      </c>
      <c r="U314" s="426">
        <v>0.46195244966011906</v>
      </c>
      <c r="V314" s="421"/>
    </row>
    <row r="315" spans="1:22">
      <c r="A315" s="416"/>
      <c r="B315" s="394" t="s">
        <v>608</v>
      </c>
      <c r="C315" s="413">
        <v>3.9893203827630057E-2</v>
      </c>
      <c r="D315" s="414">
        <v>0.18407332947149624</v>
      </c>
      <c r="E315" s="414">
        <v>0</v>
      </c>
      <c r="F315" s="414">
        <v>6.7618332081141996E-3</v>
      </c>
      <c r="G315" s="414">
        <v>0</v>
      </c>
      <c r="H315" s="414">
        <v>0</v>
      </c>
      <c r="I315" s="414">
        <v>0</v>
      </c>
      <c r="J315" s="415">
        <v>5.185834300148931E-2</v>
      </c>
      <c r="K315" s="415">
        <v>0</v>
      </c>
      <c r="L315" s="414">
        <v>0</v>
      </c>
      <c r="M315" s="414">
        <v>0</v>
      </c>
      <c r="N315" s="414">
        <v>0</v>
      </c>
      <c r="O315" s="415">
        <v>0</v>
      </c>
      <c r="P315" s="415">
        <v>0</v>
      </c>
      <c r="Q315" s="414">
        <v>0</v>
      </c>
      <c r="R315" s="415">
        <v>0</v>
      </c>
      <c r="S315" s="415">
        <v>0</v>
      </c>
      <c r="T315" s="415">
        <v>0</v>
      </c>
      <c r="U315" s="415">
        <v>5.185834300148931E-2</v>
      </c>
      <c r="V315" s="421"/>
    </row>
    <row r="316" spans="1:22">
      <c r="A316" s="416"/>
      <c r="B316" s="417" t="s">
        <v>609</v>
      </c>
      <c r="C316" s="418">
        <v>3.6634518914592913E-2</v>
      </c>
      <c r="D316" s="419">
        <v>0.16182265180345537</v>
      </c>
      <c r="E316" s="419">
        <v>0</v>
      </c>
      <c r="F316" s="419">
        <v>1.0104688211197086E-2</v>
      </c>
      <c r="G316" s="419">
        <v>0</v>
      </c>
      <c r="H316" s="419">
        <v>0</v>
      </c>
      <c r="I316" s="419">
        <v>0</v>
      </c>
      <c r="J316" s="420">
        <v>4.8727885282094256E-2</v>
      </c>
      <c r="K316" s="420">
        <v>0</v>
      </c>
      <c r="L316" s="419">
        <v>0</v>
      </c>
      <c r="M316" s="419">
        <v>0</v>
      </c>
      <c r="N316" s="419">
        <v>0</v>
      </c>
      <c r="O316" s="420">
        <v>0</v>
      </c>
      <c r="P316" s="420">
        <v>0</v>
      </c>
      <c r="Q316" s="419">
        <v>0</v>
      </c>
      <c r="R316" s="420">
        <v>0</v>
      </c>
      <c r="S316" s="420">
        <v>0</v>
      </c>
      <c r="T316" s="420">
        <v>0</v>
      </c>
      <c r="U316" s="420">
        <v>4.8727885282094256E-2</v>
      </c>
      <c r="V316" s="421"/>
    </row>
    <row r="317" spans="1:22" s="439" customFormat="1">
      <c r="A317" s="416"/>
      <c r="B317" s="422" t="s">
        <v>610</v>
      </c>
      <c r="C317" s="423">
        <v>-0.32586849130371437</v>
      </c>
      <c r="D317" s="424">
        <v>-2.225067766804087</v>
      </c>
      <c r="E317" s="424">
        <v>0</v>
      </c>
      <c r="F317" s="424">
        <v>0.33428550030828869</v>
      </c>
      <c r="G317" s="424">
        <v>0</v>
      </c>
      <c r="H317" s="424">
        <v>0</v>
      </c>
      <c r="I317" s="424">
        <v>0</v>
      </c>
      <c r="J317" s="426">
        <v>-0.31304577193950534</v>
      </c>
      <c r="K317" s="426">
        <v>0</v>
      </c>
      <c r="L317" s="424">
        <v>0</v>
      </c>
      <c r="M317" s="424">
        <v>0</v>
      </c>
      <c r="N317" s="424">
        <v>0</v>
      </c>
      <c r="O317" s="426">
        <v>0</v>
      </c>
      <c r="P317" s="426">
        <v>0</v>
      </c>
      <c r="Q317" s="424">
        <v>0</v>
      </c>
      <c r="R317" s="426">
        <v>0</v>
      </c>
      <c r="S317" s="426">
        <v>0</v>
      </c>
      <c r="T317" s="426">
        <v>0</v>
      </c>
      <c r="U317" s="426">
        <v>-0.31304577193950534</v>
      </c>
      <c r="V317" s="421"/>
    </row>
    <row r="318" spans="1:22">
      <c r="A318" s="416"/>
      <c r="B318" s="394" t="s">
        <v>611</v>
      </c>
      <c r="C318" s="413">
        <v>0.23015265638216459</v>
      </c>
      <c r="D318" s="414">
        <v>0.48294544587180971</v>
      </c>
      <c r="E318" s="414">
        <v>0</v>
      </c>
      <c r="F318" s="414">
        <v>0.75061357375406967</v>
      </c>
      <c r="G318" s="414">
        <v>0</v>
      </c>
      <c r="H318" s="414">
        <v>0</v>
      </c>
      <c r="I318" s="414">
        <v>0</v>
      </c>
      <c r="J318" s="415">
        <v>0.34617346728871995</v>
      </c>
      <c r="K318" s="415">
        <v>0</v>
      </c>
      <c r="L318" s="414">
        <v>0</v>
      </c>
      <c r="M318" s="414">
        <v>0</v>
      </c>
      <c r="N318" s="414">
        <v>0</v>
      </c>
      <c r="O318" s="415">
        <v>0</v>
      </c>
      <c r="P318" s="415">
        <v>0</v>
      </c>
      <c r="Q318" s="414">
        <v>0</v>
      </c>
      <c r="R318" s="415">
        <v>0</v>
      </c>
      <c r="S318" s="415">
        <v>0</v>
      </c>
      <c r="T318" s="415">
        <v>0</v>
      </c>
      <c r="U318" s="415">
        <v>0.34617346728871995</v>
      </c>
      <c r="V318" s="421"/>
    </row>
    <row r="319" spans="1:22">
      <c r="A319" s="416"/>
      <c r="B319" s="417" t="s">
        <v>612</v>
      </c>
      <c r="C319" s="418">
        <v>0.23525079306165292</v>
      </c>
      <c r="D319" s="419">
        <v>0.54100292998349775</v>
      </c>
      <c r="E319" s="419">
        <v>0</v>
      </c>
      <c r="F319" s="419">
        <v>0.75299651039296012</v>
      </c>
      <c r="G319" s="419">
        <v>0</v>
      </c>
      <c r="H319" s="419">
        <v>0</v>
      </c>
      <c r="I319" s="419">
        <v>0</v>
      </c>
      <c r="J319" s="420">
        <v>0.34645079781011651</v>
      </c>
      <c r="K319" s="420">
        <v>0</v>
      </c>
      <c r="L319" s="419">
        <v>0</v>
      </c>
      <c r="M319" s="419">
        <v>0</v>
      </c>
      <c r="N319" s="419">
        <v>0</v>
      </c>
      <c r="O319" s="420">
        <v>0</v>
      </c>
      <c r="P319" s="420">
        <v>0</v>
      </c>
      <c r="Q319" s="419">
        <v>0</v>
      </c>
      <c r="R319" s="420">
        <v>0</v>
      </c>
      <c r="S319" s="420">
        <v>0</v>
      </c>
      <c r="T319" s="420">
        <v>0</v>
      </c>
      <c r="U319" s="420">
        <v>0.34645079781011651</v>
      </c>
      <c r="V319" s="421"/>
    </row>
    <row r="320" spans="1:22" s="439" customFormat="1">
      <c r="A320" s="416"/>
      <c r="B320" s="422" t="s">
        <v>613</v>
      </c>
      <c r="C320" s="423">
        <v>0.50981366794883298</v>
      </c>
      <c r="D320" s="424">
        <v>5.8057484111688042</v>
      </c>
      <c r="E320" s="424">
        <v>0</v>
      </c>
      <c r="F320" s="424">
        <v>0.23829366388904427</v>
      </c>
      <c r="G320" s="424">
        <v>0</v>
      </c>
      <c r="H320" s="424">
        <v>0</v>
      </c>
      <c r="I320" s="424">
        <v>0</v>
      </c>
      <c r="J320" s="426">
        <v>2.7733052139655712E-2</v>
      </c>
      <c r="K320" s="426">
        <v>0</v>
      </c>
      <c r="L320" s="424">
        <v>0</v>
      </c>
      <c r="M320" s="424">
        <v>0</v>
      </c>
      <c r="N320" s="424">
        <v>0</v>
      </c>
      <c r="O320" s="426">
        <v>0</v>
      </c>
      <c r="P320" s="426">
        <v>0</v>
      </c>
      <c r="Q320" s="424">
        <v>0</v>
      </c>
      <c r="R320" s="426">
        <v>0</v>
      </c>
      <c r="S320" s="426">
        <v>0</v>
      </c>
      <c r="T320" s="426">
        <v>0</v>
      </c>
      <c r="U320" s="426">
        <v>2.7733052139655712E-2</v>
      </c>
      <c r="V320" s="421"/>
    </row>
    <row r="321" spans="1:22">
      <c r="A321" s="416"/>
      <c r="B321" s="394" t="s">
        <v>614</v>
      </c>
      <c r="C321" s="413">
        <v>1.0748666486371404E-2</v>
      </c>
      <c r="D321" s="414">
        <v>0</v>
      </c>
      <c r="E321" s="414">
        <v>0</v>
      </c>
      <c r="F321" s="414">
        <v>0</v>
      </c>
      <c r="G321" s="414">
        <v>0</v>
      </c>
      <c r="H321" s="414">
        <v>0</v>
      </c>
      <c r="I321" s="414">
        <v>0</v>
      </c>
      <c r="J321" s="415">
        <v>7.6851554721762815E-3</v>
      </c>
      <c r="K321" s="415">
        <v>0</v>
      </c>
      <c r="L321" s="414">
        <v>0</v>
      </c>
      <c r="M321" s="414">
        <v>0</v>
      </c>
      <c r="N321" s="414">
        <v>0</v>
      </c>
      <c r="O321" s="415">
        <v>0</v>
      </c>
      <c r="P321" s="415">
        <v>0</v>
      </c>
      <c r="Q321" s="414">
        <v>0</v>
      </c>
      <c r="R321" s="415">
        <v>0</v>
      </c>
      <c r="S321" s="415">
        <v>0</v>
      </c>
      <c r="T321" s="415">
        <v>0</v>
      </c>
      <c r="U321" s="415">
        <v>7.6851554721762815E-3</v>
      </c>
      <c r="V321" s="421"/>
    </row>
    <row r="322" spans="1:22">
      <c r="A322" s="416"/>
      <c r="B322" s="417" t="s">
        <v>615</v>
      </c>
      <c r="C322" s="418">
        <v>8.1190955327576503E-3</v>
      </c>
      <c r="D322" s="419">
        <v>0</v>
      </c>
      <c r="E322" s="419">
        <v>0</v>
      </c>
      <c r="F322" s="419">
        <v>0</v>
      </c>
      <c r="G322" s="419">
        <v>0</v>
      </c>
      <c r="H322" s="419">
        <v>0</v>
      </c>
      <c r="I322" s="419">
        <v>0</v>
      </c>
      <c r="J322" s="420">
        <v>5.9553940982044491E-3</v>
      </c>
      <c r="K322" s="420">
        <v>0</v>
      </c>
      <c r="L322" s="419">
        <v>0</v>
      </c>
      <c r="M322" s="419">
        <v>0</v>
      </c>
      <c r="N322" s="419">
        <v>0</v>
      </c>
      <c r="O322" s="420">
        <v>0</v>
      </c>
      <c r="P322" s="420">
        <v>0</v>
      </c>
      <c r="Q322" s="419">
        <v>0</v>
      </c>
      <c r="R322" s="420">
        <v>0</v>
      </c>
      <c r="S322" s="420">
        <v>0</v>
      </c>
      <c r="T322" s="420">
        <v>0</v>
      </c>
      <c r="U322" s="420">
        <v>5.9553940982044491E-3</v>
      </c>
      <c r="V322" s="421"/>
    </row>
    <row r="323" spans="1:22" s="439" customFormat="1">
      <c r="A323" s="416"/>
      <c r="B323" s="422" t="s">
        <v>616</v>
      </c>
      <c r="C323" s="423">
        <v>-0.26295709536137535</v>
      </c>
      <c r="D323" s="424">
        <v>0</v>
      </c>
      <c r="E323" s="424">
        <v>0</v>
      </c>
      <c r="F323" s="424">
        <v>0</v>
      </c>
      <c r="G323" s="424">
        <v>0</v>
      </c>
      <c r="H323" s="424">
        <v>0</v>
      </c>
      <c r="I323" s="424">
        <v>0</v>
      </c>
      <c r="J323" s="426">
        <v>-0.17297613739718326</v>
      </c>
      <c r="K323" s="426">
        <v>0</v>
      </c>
      <c r="L323" s="424">
        <v>0</v>
      </c>
      <c r="M323" s="424">
        <v>0</v>
      </c>
      <c r="N323" s="424">
        <v>0</v>
      </c>
      <c r="O323" s="426">
        <v>0</v>
      </c>
      <c r="P323" s="426">
        <v>0</v>
      </c>
      <c r="Q323" s="424">
        <v>0</v>
      </c>
      <c r="R323" s="426">
        <v>0</v>
      </c>
      <c r="S323" s="426">
        <v>0</v>
      </c>
      <c r="T323" s="426">
        <v>0</v>
      </c>
      <c r="U323" s="426">
        <v>-0.17297613739718326</v>
      </c>
      <c r="V323" s="421"/>
    </row>
    <row r="324" spans="1:22">
      <c r="A324" s="416"/>
      <c r="B324" s="394" t="s">
        <v>617</v>
      </c>
      <c r="C324" s="413">
        <v>0</v>
      </c>
      <c r="D324" s="414">
        <v>0</v>
      </c>
      <c r="E324" s="414">
        <v>0</v>
      </c>
      <c r="F324" s="414">
        <v>6.7618332081141998E-4</v>
      </c>
      <c r="G324" s="414">
        <v>0</v>
      </c>
      <c r="H324" s="414">
        <v>0</v>
      </c>
      <c r="I324" s="414">
        <v>0</v>
      </c>
      <c r="J324" s="415">
        <v>1.1108094097899336E-4</v>
      </c>
      <c r="K324" s="415">
        <v>0</v>
      </c>
      <c r="L324" s="414">
        <v>0</v>
      </c>
      <c r="M324" s="414">
        <v>0</v>
      </c>
      <c r="N324" s="414">
        <v>0</v>
      </c>
      <c r="O324" s="415">
        <v>0</v>
      </c>
      <c r="P324" s="415">
        <v>0</v>
      </c>
      <c r="Q324" s="414">
        <v>0</v>
      </c>
      <c r="R324" s="415">
        <v>0</v>
      </c>
      <c r="S324" s="415">
        <v>0</v>
      </c>
      <c r="T324" s="415">
        <v>0</v>
      </c>
      <c r="U324" s="415">
        <v>1.1108094097899336E-4</v>
      </c>
      <c r="V324" s="421"/>
    </row>
    <row r="325" spans="1:22">
      <c r="A325" s="416"/>
      <c r="B325" s="417" t="s">
        <v>618</v>
      </c>
      <c r="C325" s="418">
        <v>0</v>
      </c>
      <c r="D325" s="419">
        <v>0</v>
      </c>
      <c r="E325" s="419">
        <v>0</v>
      </c>
      <c r="F325" s="419">
        <v>4.5516613563950843E-4</v>
      </c>
      <c r="G325" s="419">
        <v>0</v>
      </c>
      <c r="H325" s="419">
        <v>0</v>
      </c>
      <c r="I325" s="419">
        <v>0</v>
      </c>
      <c r="J325" s="420">
        <v>6.3807793909333383E-5</v>
      </c>
      <c r="K325" s="420">
        <v>0</v>
      </c>
      <c r="L325" s="419">
        <v>0</v>
      </c>
      <c r="M325" s="419">
        <v>0</v>
      </c>
      <c r="N325" s="419">
        <v>0</v>
      </c>
      <c r="O325" s="420">
        <v>0</v>
      </c>
      <c r="P325" s="420">
        <v>0</v>
      </c>
      <c r="Q325" s="419">
        <v>0</v>
      </c>
      <c r="R325" s="420">
        <v>0</v>
      </c>
      <c r="S325" s="420">
        <v>0</v>
      </c>
      <c r="T325" s="420">
        <v>0</v>
      </c>
      <c r="U325" s="420">
        <v>6.3807793909333383E-5</v>
      </c>
      <c r="V325" s="421"/>
    </row>
    <row r="326" spans="1:22" s="439" customFormat="1">
      <c r="A326" s="416"/>
      <c r="B326" s="422" t="s">
        <v>619</v>
      </c>
      <c r="C326" s="423">
        <v>0</v>
      </c>
      <c r="D326" s="424">
        <v>0</v>
      </c>
      <c r="E326" s="424">
        <v>0</v>
      </c>
      <c r="F326" s="424">
        <v>-2.2101718517191154E-2</v>
      </c>
      <c r="G326" s="424">
        <v>0</v>
      </c>
      <c r="H326" s="424">
        <v>0</v>
      </c>
      <c r="I326" s="424">
        <v>0</v>
      </c>
      <c r="J326" s="426">
        <v>-4.7273147069659977E-3</v>
      </c>
      <c r="K326" s="426">
        <v>0</v>
      </c>
      <c r="L326" s="424">
        <v>0</v>
      </c>
      <c r="M326" s="424">
        <v>0</v>
      </c>
      <c r="N326" s="424">
        <v>0</v>
      </c>
      <c r="O326" s="426">
        <v>0</v>
      </c>
      <c r="P326" s="426">
        <v>0</v>
      </c>
      <c r="Q326" s="424">
        <v>0</v>
      </c>
      <c r="R326" s="426">
        <v>0</v>
      </c>
      <c r="S326" s="426">
        <v>0</v>
      </c>
      <c r="T326" s="426">
        <v>0</v>
      </c>
      <c r="U326" s="426">
        <v>-4.7273147069659977E-3</v>
      </c>
      <c r="V326" s="421"/>
    </row>
    <row r="327" spans="1:22">
      <c r="A327" s="416"/>
      <c r="B327" s="394" t="s">
        <v>620</v>
      </c>
      <c r="C327" s="413">
        <v>3.2222983042655174E-4</v>
      </c>
      <c r="D327" s="414">
        <v>0</v>
      </c>
      <c r="E327" s="414">
        <v>0</v>
      </c>
      <c r="F327" s="414">
        <v>2.02854996243426E-3</v>
      </c>
      <c r="G327" s="414">
        <v>0</v>
      </c>
      <c r="H327" s="414">
        <v>0</v>
      </c>
      <c r="I327" s="414">
        <v>0</v>
      </c>
      <c r="J327" s="415">
        <v>5.6363292274526258E-4</v>
      </c>
      <c r="K327" s="415">
        <v>0</v>
      </c>
      <c r="L327" s="414">
        <v>0</v>
      </c>
      <c r="M327" s="414">
        <v>0</v>
      </c>
      <c r="N327" s="414">
        <v>0</v>
      </c>
      <c r="O327" s="415">
        <v>0</v>
      </c>
      <c r="P327" s="415">
        <v>0</v>
      </c>
      <c r="Q327" s="414">
        <v>0</v>
      </c>
      <c r="R327" s="415">
        <v>0</v>
      </c>
      <c r="S327" s="415">
        <v>0</v>
      </c>
      <c r="T327" s="415">
        <v>0</v>
      </c>
      <c r="U327" s="415">
        <v>5.6363292274526258E-4</v>
      </c>
      <c r="V327" s="421"/>
    </row>
    <row r="328" spans="1:22">
      <c r="A328" s="416"/>
      <c r="B328" s="417" t="s">
        <v>621</v>
      </c>
      <c r="C328" s="418">
        <v>4.8714573196545903E-4</v>
      </c>
      <c r="D328" s="419">
        <v>0</v>
      </c>
      <c r="E328" s="419">
        <v>0</v>
      </c>
      <c r="F328" s="419">
        <v>1.5475648611743287E-3</v>
      </c>
      <c r="G328" s="419">
        <v>0</v>
      </c>
      <c r="H328" s="419">
        <v>0</v>
      </c>
      <c r="I328" s="419">
        <v>0</v>
      </c>
      <c r="J328" s="420">
        <v>5.7427014518400044E-4</v>
      </c>
      <c r="K328" s="420">
        <v>0</v>
      </c>
      <c r="L328" s="419">
        <v>0</v>
      </c>
      <c r="M328" s="419">
        <v>0</v>
      </c>
      <c r="N328" s="419">
        <v>0</v>
      </c>
      <c r="O328" s="420">
        <v>0</v>
      </c>
      <c r="P328" s="420">
        <v>0</v>
      </c>
      <c r="Q328" s="419">
        <v>0</v>
      </c>
      <c r="R328" s="420">
        <v>0</v>
      </c>
      <c r="S328" s="420">
        <v>0</v>
      </c>
      <c r="T328" s="420">
        <v>0</v>
      </c>
      <c r="U328" s="420">
        <v>5.7427014518400044E-4</v>
      </c>
      <c r="V328" s="421"/>
    </row>
    <row r="329" spans="1:22" s="439" customFormat="1" ht="15" thickBot="1">
      <c r="A329" s="432"/>
      <c r="B329" s="433" t="s">
        <v>622</v>
      </c>
      <c r="C329" s="434">
        <v>1.649159015389073E-2</v>
      </c>
      <c r="D329" s="435">
        <v>0</v>
      </c>
      <c r="E329" s="435">
        <v>0</v>
      </c>
      <c r="F329" s="435">
        <v>-4.8098510125993137E-2</v>
      </c>
      <c r="G329" s="435">
        <v>0</v>
      </c>
      <c r="H329" s="435">
        <v>0</v>
      </c>
      <c r="I329" s="435">
        <v>0</v>
      </c>
      <c r="J329" s="436">
        <v>1.0637222438737866E-3</v>
      </c>
      <c r="K329" s="436">
        <v>0</v>
      </c>
      <c r="L329" s="435">
        <v>0</v>
      </c>
      <c r="M329" s="435">
        <v>0</v>
      </c>
      <c r="N329" s="435">
        <v>0</v>
      </c>
      <c r="O329" s="436">
        <v>0</v>
      </c>
      <c r="P329" s="436">
        <v>0</v>
      </c>
      <c r="Q329" s="435">
        <v>0</v>
      </c>
      <c r="R329" s="436">
        <v>0</v>
      </c>
      <c r="S329" s="436">
        <v>0</v>
      </c>
      <c r="T329" s="436">
        <v>0</v>
      </c>
      <c r="U329" s="436">
        <v>1.0637222438737866E-3</v>
      </c>
      <c r="V329" s="421"/>
    </row>
    <row r="330" spans="1:22">
      <c r="A330" s="412" t="s">
        <v>300</v>
      </c>
      <c r="B330" s="394" t="s">
        <v>587</v>
      </c>
      <c r="C330" s="413">
        <v>0.84818947893459806</v>
      </c>
      <c r="D330" s="414">
        <v>0.77829128230191214</v>
      </c>
      <c r="E330" s="414">
        <v>0.82668568110094287</v>
      </c>
      <c r="F330" s="414">
        <v>0.60647028096992361</v>
      </c>
      <c r="G330" s="414">
        <v>0.73727811055496295</v>
      </c>
      <c r="H330" s="414">
        <v>0.92338875670697251</v>
      </c>
      <c r="I330" s="414">
        <v>0.96946262858787136</v>
      </c>
      <c r="J330" s="415">
        <v>0.82285708198652641</v>
      </c>
      <c r="K330" s="415">
        <v>0</v>
      </c>
      <c r="L330" s="414">
        <v>0.52910217624155709</v>
      </c>
      <c r="M330" s="414">
        <v>0.45081672575881837</v>
      </c>
      <c r="N330" s="414">
        <v>0.42964421309869721</v>
      </c>
      <c r="O330" s="415">
        <v>0.48379667970456208</v>
      </c>
      <c r="P330" s="415">
        <v>0</v>
      </c>
      <c r="Q330" s="414">
        <v>0</v>
      </c>
      <c r="R330" s="415">
        <v>0</v>
      </c>
      <c r="S330" s="415">
        <v>0</v>
      </c>
      <c r="T330" s="415">
        <v>0</v>
      </c>
      <c r="U330" s="415">
        <v>0.66874695929165284</v>
      </c>
      <c r="V330" s="421"/>
    </row>
    <row r="331" spans="1:22">
      <c r="A331" s="416"/>
      <c r="B331" s="417" t="s">
        <v>588</v>
      </c>
      <c r="C331" s="418">
        <v>0.84154744216455479</v>
      </c>
      <c r="D331" s="419">
        <v>0.75902077530791812</v>
      </c>
      <c r="E331" s="419">
        <v>0.81253524718568981</v>
      </c>
      <c r="F331" s="419">
        <v>0.54717383339439762</v>
      </c>
      <c r="G331" s="419">
        <v>0.70351329040779265</v>
      </c>
      <c r="H331" s="419">
        <v>0.90528778339697935</v>
      </c>
      <c r="I331" s="419">
        <v>0.97419542952946747</v>
      </c>
      <c r="J331" s="420">
        <v>0.80899963958632692</v>
      </c>
      <c r="K331" s="420">
        <v>0</v>
      </c>
      <c r="L331" s="419">
        <v>0.5336019257184148</v>
      </c>
      <c r="M331" s="419">
        <v>0.48912926962682285</v>
      </c>
      <c r="N331" s="419">
        <v>0.4453916771807177</v>
      </c>
      <c r="O331" s="420">
        <v>0.50216193951742882</v>
      </c>
      <c r="P331" s="420">
        <v>0</v>
      </c>
      <c r="Q331" s="419">
        <v>0</v>
      </c>
      <c r="R331" s="420">
        <v>0</v>
      </c>
      <c r="S331" s="420">
        <v>0</v>
      </c>
      <c r="T331" s="420">
        <v>0</v>
      </c>
      <c r="U331" s="420">
        <v>0.66915006665064114</v>
      </c>
      <c r="V331" s="421"/>
    </row>
    <row r="332" spans="1:22">
      <c r="A332" s="416"/>
      <c r="B332" s="422" t="s">
        <v>589</v>
      </c>
      <c r="C332" s="423">
        <v>-0.66420367700432692</v>
      </c>
      <c r="D332" s="424">
        <v>-1.9270506993994019</v>
      </c>
      <c r="E332" s="424">
        <v>-1.4150433915253058</v>
      </c>
      <c r="F332" s="424">
        <v>-5.929644757552599</v>
      </c>
      <c r="G332" s="424">
        <v>-3.3764820147170305</v>
      </c>
      <c r="H332" s="424">
        <v>-1.8100973309993162</v>
      </c>
      <c r="I332" s="424">
        <v>0.47328009415961159</v>
      </c>
      <c r="J332" s="426">
        <v>-1.3857442400199482</v>
      </c>
      <c r="K332" s="426">
        <v>0</v>
      </c>
      <c r="L332" s="424">
        <v>0.44997494768577173</v>
      </c>
      <c r="M332" s="424">
        <v>3.8312543868004481</v>
      </c>
      <c r="N332" s="424">
        <v>1.574746408202049</v>
      </c>
      <c r="O332" s="426">
        <v>1.8365259812866741</v>
      </c>
      <c r="P332" s="426">
        <v>0</v>
      </c>
      <c r="Q332" s="424">
        <v>0</v>
      </c>
      <c r="R332" s="426">
        <v>0</v>
      </c>
      <c r="S332" s="426">
        <v>0</v>
      </c>
      <c r="T332" s="426">
        <v>0</v>
      </c>
      <c r="U332" s="426">
        <v>4.0310735898829719E-2</v>
      </c>
      <c r="V332" s="421"/>
    </row>
    <row r="333" spans="1:22">
      <c r="A333" s="416"/>
      <c r="B333" s="394" t="s">
        <v>590</v>
      </c>
      <c r="C333" s="413">
        <v>9.1408105202313104E-3</v>
      </c>
      <c r="D333" s="414">
        <v>7.0743478526482982E-3</v>
      </c>
      <c r="E333" s="414">
        <v>6.550271334556366E-3</v>
      </c>
      <c r="F333" s="414">
        <v>6.1582449002034424E-3</v>
      </c>
      <c r="G333" s="414">
        <v>3.6890402341292635E-3</v>
      </c>
      <c r="H333" s="414">
        <v>3.5026269702276708E-3</v>
      </c>
      <c r="I333" s="414">
        <v>0</v>
      </c>
      <c r="J333" s="415">
        <v>7.4925321364817466E-3</v>
      </c>
      <c r="K333" s="415">
        <v>0</v>
      </c>
      <c r="L333" s="414">
        <v>2.8173763551443562E-2</v>
      </c>
      <c r="M333" s="414">
        <v>4.0327522208446813E-2</v>
      </c>
      <c r="N333" s="414">
        <v>4.5267913007301805E-2</v>
      </c>
      <c r="O333" s="415">
        <v>3.5490408069043917E-2</v>
      </c>
      <c r="P333" s="415">
        <v>0</v>
      </c>
      <c r="Q333" s="414">
        <v>0</v>
      </c>
      <c r="R333" s="415">
        <v>0</v>
      </c>
      <c r="S333" s="415">
        <v>0</v>
      </c>
      <c r="T333" s="415">
        <v>0</v>
      </c>
      <c r="U333" s="415">
        <v>2.0218158798054661E-2</v>
      </c>
      <c r="V333" s="421"/>
    </row>
    <row r="334" spans="1:22">
      <c r="A334" s="416"/>
      <c r="B334" s="417" t="s">
        <v>591</v>
      </c>
      <c r="C334" s="418">
        <v>8.6306037101195644E-3</v>
      </c>
      <c r="D334" s="419">
        <v>8.712779262743239E-3</v>
      </c>
      <c r="E334" s="419">
        <v>7.6922292251083825E-3</v>
      </c>
      <c r="F334" s="419">
        <v>3.2441794624121505E-3</v>
      </c>
      <c r="G334" s="419">
        <v>4.1307578008915307E-3</v>
      </c>
      <c r="H334" s="419">
        <v>6.5022190112498709E-3</v>
      </c>
      <c r="I334" s="419">
        <v>0</v>
      </c>
      <c r="J334" s="420">
        <v>7.8391131138824816E-3</v>
      </c>
      <c r="K334" s="420">
        <v>0</v>
      </c>
      <c r="L334" s="419">
        <v>2.7691838419148306E-2</v>
      </c>
      <c r="M334" s="419">
        <v>4.7536092331684994E-2</v>
      </c>
      <c r="N334" s="419">
        <v>5.020889745362464E-2</v>
      </c>
      <c r="O334" s="420">
        <v>3.8782477732807845E-2</v>
      </c>
      <c r="P334" s="420">
        <v>0</v>
      </c>
      <c r="Q334" s="419">
        <v>0</v>
      </c>
      <c r="R334" s="420">
        <v>0</v>
      </c>
      <c r="S334" s="420">
        <v>0</v>
      </c>
      <c r="T334" s="420">
        <v>0</v>
      </c>
      <c r="U334" s="420">
        <v>2.1942387666449629E-2</v>
      </c>
      <c r="V334" s="421"/>
    </row>
    <row r="335" spans="1:22">
      <c r="A335" s="416"/>
      <c r="B335" s="422" t="s">
        <v>592</v>
      </c>
      <c r="C335" s="423">
        <v>-5.1020681011174594E-2</v>
      </c>
      <c r="D335" s="424">
        <v>0.16384314100949407</v>
      </c>
      <c r="E335" s="424">
        <v>0.11419578905520165</v>
      </c>
      <c r="F335" s="424">
        <v>-0.29140654377912917</v>
      </c>
      <c r="G335" s="424">
        <v>4.417175667622672E-2</v>
      </c>
      <c r="H335" s="424">
        <v>0.29995920410221999</v>
      </c>
      <c r="I335" s="424">
        <v>0</v>
      </c>
      <c r="J335" s="426">
        <v>3.4658097740073501E-2</v>
      </c>
      <c r="K335" s="426">
        <v>0</v>
      </c>
      <c r="L335" s="424">
        <v>-4.8192513229525571E-2</v>
      </c>
      <c r="M335" s="424">
        <v>0.72085701232381805</v>
      </c>
      <c r="N335" s="424">
        <v>0.49409844463228353</v>
      </c>
      <c r="O335" s="426">
        <v>0.32920696637639274</v>
      </c>
      <c r="P335" s="426">
        <v>0</v>
      </c>
      <c r="Q335" s="424">
        <v>0</v>
      </c>
      <c r="R335" s="426">
        <v>0</v>
      </c>
      <c r="S335" s="426">
        <v>0</v>
      </c>
      <c r="T335" s="426">
        <v>0</v>
      </c>
      <c r="U335" s="426">
        <v>0.17242288683949683</v>
      </c>
      <c r="V335" s="421"/>
    </row>
    <row r="336" spans="1:22">
      <c r="A336" s="416"/>
      <c r="B336" s="394" t="s">
        <v>593</v>
      </c>
      <c r="C336" s="413">
        <v>0.14259881275392877</v>
      </c>
      <c r="D336" s="414">
        <v>0.21434571446026024</v>
      </c>
      <c r="E336" s="414">
        <v>0.16664150746813811</v>
      </c>
      <c r="F336" s="414">
        <v>0.38737147412987299</v>
      </c>
      <c r="G336" s="414">
        <v>0.2206654631984902</v>
      </c>
      <c r="H336" s="414">
        <v>5.4151171147284766E-2</v>
      </c>
      <c r="I336" s="414">
        <v>3.0537371412128624E-2</v>
      </c>
      <c r="J336" s="415">
        <v>0.16693964112393214</v>
      </c>
      <c r="K336" s="415">
        <v>0</v>
      </c>
      <c r="L336" s="414">
        <v>0.44170187087988388</v>
      </c>
      <c r="M336" s="414">
        <v>0.50425916694034678</v>
      </c>
      <c r="N336" s="414">
        <v>0.51828726983263829</v>
      </c>
      <c r="O336" s="415">
        <v>0.4774103575068751</v>
      </c>
      <c r="P336" s="415">
        <v>0</v>
      </c>
      <c r="Q336" s="414">
        <v>0</v>
      </c>
      <c r="R336" s="415">
        <v>0</v>
      </c>
      <c r="S336" s="415">
        <v>0</v>
      </c>
      <c r="T336" s="415">
        <v>0</v>
      </c>
      <c r="U336" s="415">
        <v>0.30805514701291259</v>
      </c>
      <c r="V336" s="421"/>
    </row>
    <row r="337" spans="1:22">
      <c r="A337" s="416"/>
      <c r="B337" s="417" t="s">
        <v>594</v>
      </c>
      <c r="C337" s="418">
        <v>0.14976943565805434</v>
      </c>
      <c r="D337" s="419">
        <v>0.23102042598582126</v>
      </c>
      <c r="E337" s="419">
        <v>0.17970432438340195</v>
      </c>
      <c r="F337" s="419">
        <v>0.4495819871431902</v>
      </c>
      <c r="G337" s="419">
        <v>0.26282317979197622</v>
      </c>
      <c r="H337" s="419">
        <v>7.1909725805896718E-2</v>
      </c>
      <c r="I337" s="419">
        <v>2.5804570470532494E-2</v>
      </c>
      <c r="J337" s="420">
        <v>0.18087341203429863</v>
      </c>
      <c r="K337" s="420">
        <v>0</v>
      </c>
      <c r="L337" s="419">
        <v>0.43848924278218437</v>
      </c>
      <c r="M337" s="419">
        <v>0.46124097959693705</v>
      </c>
      <c r="N337" s="419">
        <v>0.50057824640203996</v>
      </c>
      <c r="O337" s="420">
        <v>0.45753248602372487</v>
      </c>
      <c r="P337" s="420">
        <v>0</v>
      </c>
      <c r="Q337" s="419">
        <v>0</v>
      </c>
      <c r="R337" s="420">
        <v>0</v>
      </c>
      <c r="S337" s="420">
        <v>0</v>
      </c>
      <c r="T337" s="420">
        <v>0</v>
      </c>
      <c r="U337" s="420">
        <v>0.30696826067094224</v>
      </c>
      <c r="V337" s="421"/>
    </row>
    <row r="338" spans="1:22">
      <c r="A338" s="416"/>
      <c r="B338" s="422" t="s">
        <v>595</v>
      </c>
      <c r="C338" s="423">
        <v>0.71706229041255676</v>
      </c>
      <c r="D338" s="424">
        <v>1.6674711525561019</v>
      </c>
      <c r="E338" s="424">
        <v>1.3062816915263842</v>
      </c>
      <c r="F338" s="424">
        <v>6.2210513013317206</v>
      </c>
      <c r="G338" s="424">
        <v>4.2157716593486025</v>
      </c>
      <c r="H338" s="424">
        <v>1.7758554658611954</v>
      </c>
      <c r="I338" s="424">
        <v>-0.47328009415961297</v>
      </c>
      <c r="J338" s="426">
        <v>1.393377091036649</v>
      </c>
      <c r="K338" s="426">
        <v>0</v>
      </c>
      <c r="L338" s="424">
        <v>-0.32126280976995103</v>
      </c>
      <c r="M338" s="424">
        <v>-4.3018187343409728</v>
      </c>
      <c r="N338" s="424">
        <v>-1.7709023430598325</v>
      </c>
      <c r="O338" s="426">
        <v>-1.9877871483150233</v>
      </c>
      <c r="P338" s="426">
        <v>0</v>
      </c>
      <c r="Q338" s="424">
        <v>0</v>
      </c>
      <c r="R338" s="426">
        <v>0</v>
      </c>
      <c r="S338" s="426">
        <v>0</v>
      </c>
      <c r="T338" s="426">
        <v>0</v>
      </c>
      <c r="U338" s="426">
        <v>-0.10868863419703501</v>
      </c>
      <c r="V338" s="421"/>
    </row>
    <row r="339" spans="1:22">
      <c r="A339" s="416"/>
      <c r="B339" s="394" t="s">
        <v>596</v>
      </c>
      <c r="C339" s="413">
        <v>4.0870491421784308E-5</v>
      </c>
      <c r="D339" s="414">
        <v>2.8865538517930232E-4</v>
      </c>
      <c r="E339" s="414">
        <v>1.2254009636269026E-4</v>
      </c>
      <c r="F339" s="414">
        <v>0</v>
      </c>
      <c r="G339" s="414">
        <v>1.0906430349279287E-3</v>
      </c>
      <c r="H339" s="414">
        <v>1.8957445175515102E-2</v>
      </c>
      <c r="I339" s="414">
        <v>0</v>
      </c>
      <c r="J339" s="415">
        <v>6.5969865413999219E-4</v>
      </c>
      <c r="K339" s="415">
        <v>0</v>
      </c>
      <c r="L339" s="414">
        <v>1.0221893271154547E-3</v>
      </c>
      <c r="M339" s="414">
        <v>4.5965850923880081E-3</v>
      </c>
      <c r="N339" s="414">
        <v>6.0144070600490719E-3</v>
      </c>
      <c r="O339" s="415">
        <v>3.1679854270427535E-3</v>
      </c>
      <c r="P339" s="415">
        <v>0</v>
      </c>
      <c r="Q339" s="414">
        <v>0</v>
      </c>
      <c r="R339" s="415">
        <v>0</v>
      </c>
      <c r="S339" s="415">
        <v>0</v>
      </c>
      <c r="T339" s="415">
        <v>0</v>
      </c>
      <c r="U339" s="415">
        <v>1.7997680332959634E-3</v>
      </c>
      <c r="V339" s="421"/>
    </row>
    <row r="340" spans="1:22">
      <c r="A340" s="416"/>
      <c r="B340" s="417" t="s">
        <v>597</v>
      </c>
      <c r="C340" s="418">
        <v>5.2518467271276903E-5</v>
      </c>
      <c r="D340" s="419">
        <v>1.2460194435174241E-3</v>
      </c>
      <c r="E340" s="419">
        <v>6.8199205799846988E-5</v>
      </c>
      <c r="F340" s="419">
        <v>0</v>
      </c>
      <c r="G340" s="419">
        <v>5.8444774640911343E-4</v>
      </c>
      <c r="H340" s="419">
        <v>1.6300271785874017E-2</v>
      </c>
      <c r="I340" s="419">
        <v>0</v>
      </c>
      <c r="J340" s="420">
        <v>6.6453874780273109E-4</v>
      </c>
      <c r="K340" s="420">
        <v>0</v>
      </c>
      <c r="L340" s="419">
        <v>2.1699308025246384E-4</v>
      </c>
      <c r="M340" s="419">
        <v>2.0936584445551097E-3</v>
      </c>
      <c r="N340" s="419">
        <v>3.8211789636176871E-3</v>
      </c>
      <c r="O340" s="420">
        <v>1.5230967260384761E-3</v>
      </c>
      <c r="P340" s="420">
        <v>0</v>
      </c>
      <c r="Q340" s="419">
        <v>0</v>
      </c>
      <c r="R340" s="420">
        <v>0</v>
      </c>
      <c r="S340" s="420">
        <v>0</v>
      </c>
      <c r="T340" s="420">
        <v>0</v>
      </c>
      <c r="U340" s="420">
        <v>1.0558497456684892E-3</v>
      </c>
      <c r="V340" s="421"/>
    </row>
    <row r="341" spans="1:22">
      <c r="A341" s="416"/>
      <c r="B341" s="422" t="s">
        <v>598</v>
      </c>
      <c r="C341" s="423">
        <v>1.1647975849492596E-3</v>
      </c>
      <c r="D341" s="424">
        <v>9.5736405833812169E-2</v>
      </c>
      <c r="E341" s="424">
        <v>-5.4340890562843275E-3</v>
      </c>
      <c r="F341" s="424">
        <v>0</v>
      </c>
      <c r="G341" s="424">
        <v>-5.0619528851881528E-2</v>
      </c>
      <c r="H341" s="424">
        <v>-0.26571733896410854</v>
      </c>
      <c r="I341" s="424">
        <v>0</v>
      </c>
      <c r="J341" s="426">
        <v>4.8400936627389021E-4</v>
      </c>
      <c r="K341" s="426">
        <v>0</v>
      </c>
      <c r="L341" s="424">
        <v>-8.0519624686299085E-2</v>
      </c>
      <c r="M341" s="424">
        <v>-0.25029266478328982</v>
      </c>
      <c r="N341" s="424">
        <v>-0.21932280964313847</v>
      </c>
      <c r="O341" s="426">
        <v>-0.16448887010042773</v>
      </c>
      <c r="P341" s="426">
        <v>0</v>
      </c>
      <c r="Q341" s="424">
        <v>0</v>
      </c>
      <c r="R341" s="426">
        <v>0</v>
      </c>
      <c r="S341" s="426">
        <v>0</v>
      </c>
      <c r="T341" s="426">
        <v>0</v>
      </c>
      <c r="U341" s="426">
        <v>-7.4391828762747428E-2</v>
      </c>
      <c r="V341" s="421"/>
    </row>
    <row r="342" spans="1:22">
      <c r="A342" s="416"/>
      <c r="B342" s="394" t="s">
        <v>599</v>
      </c>
      <c r="C342" s="413">
        <v>3.0027299820086427E-5</v>
      </c>
      <c r="D342" s="414">
        <v>0</v>
      </c>
      <c r="E342" s="414">
        <v>0</v>
      </c>
      <c r="F342" s="414">
        <v>0</v>
      </c>
      <c r="G342" s="414">
        <v>3.7276742977489674E-2</v>
      </c>
      <c r="H342" s="414">
        <v>0</v>
      </c>
      <c r="I342" s="414">
        <v>0</v>
      </c>
      <c r="J342" s="415">
        <v>2.0510460989196641E-3</v>
      </c>
      <c r="K342" s="415">
        <v>0</v>
      </c>
      <c r="L342" s="414">
        <v>0</v>
      </c>
      <c r="M342" s="414">
        <v>0</v>
      </c>
      <c r="N342" s="414">
        <v>7.8619700131360415E-4</v>
      </c>
      <c r="O342" s="415">
        <v>1.3456929247615237E-4</v>
      </c>
      <c r="P342" s="415">
        <v>0</v>
      </c>
      <c r="Q342" s="414">
        <v>0</v>
      </c>
      <c r="R342" s="415">
        <v>0</v>
      </c>
      <c r="S342" s="415">
        <v>0</v>
      </c>
      <c r="T342" s="415">
        <v>0</v>
      </c>
      <c r="U342" s="415">
        <v>1.179966864083873E-3</v>
      </c>
      <c r="V342" s="421"/>
    </row>
    <row r="343" spans="1:22">
      <c r="A343" s="416"/>
      <c r="B343" s="417" t="s">
        <v>600</v>
      </c>
      <c r="C343" s="418">
        <v>0</v>
      </c>
      <c r="D343" s="419">
        <v>0</v>
      </c>
      <c r="E343" s="419">
        <v>0</v>
      </c>
      <c r="F343" s="419">
        <v>0</v>
      </c>
      <c r="G343" s="419">
        <v>2.8948324252930493E-2</v>
      </c>
      <c r="H343" s="419">
        <v>0</v>
      </c>
      <c r="I343" s="419">
        <v>0</v>
      </c>
      <c r="J343" s="420">
        <v>1.6232965176892012E-3</v>
      </c>
      <c r="K343" s="420">
        <v>0</v>
      </c>
      <c r="L343" s="419">
        <v>0</v>
      </c>
      <c r="M343" s="419">
        <v>0</v>
      </c>
      <c r="N343" s="419">
        <v>0</v>
      </c>
      <c r="O343" s="420">
        <v>0</v>
      </c>
      <c r="P343" s="420">
        <v>0</v>
      </c>
      <c r="Q343" s="419">
        <v>0</v>
      </c>
      <c r="R343" s="420">
        <v>0</v>
      </c>
      <c r="S343" s="420">
        <v>0</v>
      </c>
      <c r="T343" s="420">
        <v>0</v>
      </c>
      <c r="U343" s="420">
        <v>8.834352662984964E-4</v>
      </c>
      <c r="V343" s="421"/>
    </row>
    <row r="344" spans="1:22">
      <c r="A344" s="416"/>
      <c r="B344" s="422" t="s">
        <v>601</v>
      </c>
      <c r="C344" s="423">
        <v>-3.0027299820086428E-3</v>
      </c>
      <c r="D344" s="424">
        <v>0</v>
      </c>
      <c r="E344" s="424">
        <v>0</v>
      </c>
      <c r="F344" s="424">
        <v>0</v>
      </c>
      <c r="G344" s="424">
        <v>-0.83284187245591812</v>
      </c>
      <c r="H344" s="424">
        <v>0</v>
      </c>
      <c r="I344" s="424">
        <v>0</v>
      </c>
      <c r="J344" s="426">
        <v>-4.277495812304629E-2</v>
      </c>
      <c r="K344" s="426">
        <v>0</v>
      </c>
      <c r="L344" s="424">
        <v>0</v>
      </c>
      <c r="M344" s="424">
        <v>0</v>
      </c>
      <c r="N344" s="424">
        <v>-7.8619700131360409E-2</v>
      </c>
      <c r="O344" s="426">
        <v>-1.3456929247615237E-2</v>
      </c>
      <c r="P344" s="426">
        <v>0</v>
      </c>
      <c r="Q344" s="424">
        <v>0</v>
      </c>
      <c r="R344" s="426">
        <v>0</v>
      </c>
      <c r="S344" s="426">
        <v>0</v>
      </c>
      <c r="T344" s="426">
        <v>0</v>
      </c>
      <c r="U344" s="426">
        <v>-2.965315977853766E-2</v>
      </c>
      <c r="V344" s="421"/>
    </row>
    <row r="345" spans="1:22">
      <c r="A345" s="416"/>
      <c r="B345" s="394" t="s">
        <v>602</v>
      </c>
      <c r="C345" s="413">
        <v>0</v>
      </c>
      <c r="D345" s="414">
        <v>0</v>
      </c>
      <c r="E345" s="414">
        <v>0</v>
      </c>
      <c r="F345" s="414">
        <v>0</v>
      </c>
      <c r="G345" s="414">
        <v>0</v>
      </c>
      <c r="H345" s="414">
        <v>0</v>
      </c>
      <c r="I345" s="414">
        <v>0</v>
      </c>
      <c r="J345" s="415">
        <v>0</v>
      </c>
      <c r="K345" s="415">
        <v>0</v>
      </c>
      <c r="L345" s="414">
        <v>0</v>
      </c>
      <c r="M345" s="414">
        <v>0</v>
      </c>
      <c r="N345" s="414">
        <v>0</v>
      </c>
      <c r="O345" s="415">
        <v>0</v>
      </c>
      <c r="P345" s="415">
        <v>0</v>
      </c>
      <c r="Q345" s="414">
        <v>0</v>
      </c>
      <c r="R345" s="415">
        <v>0</v>
      </c>
      <c r="S345" s="415">
        <v>0</v>
      </c>
      <c r="T345" s="415">
        <v>0</v>
      </c>
      <c r="U345" s="415">
        <v>0</v>
      </c>
      <c r="V345" s="421"/>
    </row>
    <row r="346" spans="1:22">
      <c r="A346" s="416"/>
      <c r="B346" s="417" t="s">
        <v>603</v>
      </c>
      <c r="C346" s="418">
        <v>0</v>
      </c>
      <c r="D346" s="419">
        <v>0</v>
      </c>
      <c r="E346" s="419">
        <v>0</v>
      </c>
      <c r="F346" s="419">
        <v>0</v>
      </c>
      <c r="G346" s="419">
        <v>0</v>
      </c>
      <c r="H346" s="419">
        <v>0</v>
      </c>
      <c r="I346" s="419">
        <v>0</v>
      </c>
      <c r="J346" s="420">
        <v>0</v>
      </c>
      <c r="K346" s="420">
        <v>0</v>
      </c>
      <c r="L346" s="419">
        <v>0</v>
      </c>
      <c r="M346" s="419">
        <v>0</v>
      </c>
      <c r="N346" s="419">
        <v>0</v>
      </c>
      <c r="O346" s="420">
        <v>0</v>
      </c>
      <c r="P346" s="420">
        <v>0</v>
      </c>
      <c r="Q346" s="419">
        <v>0</v>
      </c>
      <c r="R346" s="420">
        <v>0</v>
      </c>
      <c r="S346" s="420">
        <v>0</v>
      </c>
      <c r="T346" s="420">
        <v>0</v>
      </c>
      <c r="U346" s="420">
        <v>0</v>
      </c>
      <c r="V346" s="421"/>
    </row>
    <row r="347" spans="1:22" ht="15" thickBot="1">
      <c r="A347" s="416"/>
      <c r="B347" s="428" t="s">
        <v>604</v>
      </c>
      <c r="C347" s="429">
        <v>0</v>
      </c>
      <c r="D347" s="430">
        <v>0</v>
      </c>
      <c r="E347" s="430">
        <v>0</v>
      </c>
      <c r="F347" s="430">
        <v>0</v>
      </c>
      <c r="G347" s="430">
        <v>0</v>
      </c>
      <c r="H347" s="430">
        <v>0</v>
      </c>
      <c r="I347" s="430">
        <v>0</v>
      </c>
      <c r="J347" s="431">
        <v>0</v>
      </c>
      <c r="K347" s="431">
        <v>0</v>
      </c>
      <c r="L347" s="430">
        <v>0</v>
      </c>
      <c r="M347" s="430">
        <v>0</v>
      </c>
      <c r="N347" s="430">
        <v>0</v>
      </c>
      <c r="O347" s="431">
        <v>0</v>
      </c>
      <c r="P347" s="431">
        <v>0</v>
      </c>
      <c r="Q347" s="430">
        <v>0</v>
      </c>
      <c r="R347" s="431">
        <v>0</v>
      </c>
      <c r="S347" s="431">
        <v>0</v>
      </c>
      <c r="T347" s="431">
        <v>0</v>
      </c>
      <c r="U347" s="431">
        <v>0</v>
      </c>
      <c r="V347" s="421"/>
    </row>
    <row r="348" spans="1:22" ht="15" thickTop="1">
      <c r="A348" s="416"/>
      <c r="B348" s="417" t="s">
        <v>605</v>
      </c>
      <c r="C348" s="418">
        <v>0.79535094063118361</v>
      </c>
      <c r="D348" s="419">
        <v>0.37340528296858866</v>
      </c>
      <c r="E348" s="419">
        <v>0.56513552835886594</v>
      </c>
      <c r="F348" s="419">
        <v>0.34397847979031593</v>
      </c>
      <c r="G348" s="419">
        <v>0.44422868665745546</v>
      </c>
      <c r="H348" s="419">
        <v>0.83673469387755106</v>
      </c>
      <c r="I348" s="419">
        <v>1</v>
      </c>
      <c r="J348" s="420">
        <v>0.68509202967970828</v>
      </c>
      <c r="K348" s="420">
        <v>0</v>
      </c>
      <c r="L348" s="419">
        <v>0</v>
      </c>
      <c r="M348" s="419">
        <v>0</v>
      </c>
      <c r="N348" s="419">
        <v>0</v>
      </c>
      <c r="O348" s="420">
        <v>0</v>
      </c>
      <c r="P348" s="420">
        <v>0</v>
      </c>
      <c r="Q348" s="419">
        <v>0</v>
      </c>
      <c r="R348" s="420">
        <v>0</v>
      </c>
      <c r="S348" s="420">
        <v>0</v>
      </c>
      <c r="T348" s="420">
        <v>0</v>
      </c>
      <c r="U348" s="420">
        <v>0.68509202967970828</v>
      </c>
      <c r="V348" s="421"/>
    </row>
    <row r="349" spans="1:22">
      <c r="A349" s="416"/>
      <c r="B349" s="417" t="s">
        <v>606</v>
      </c>
      <c r="C349" s="418">
        <v>0.78418634572085588</v>
      </c>
      <c r="D349" s="419">
        <v>0.36381258243963982</v>
      </c>
      <c r="E349" s="419">
        <v>0.51753538142906452</v>
      </c>
      <c r="F349" s="419">
        <v>0.33289161668294043</v>
      </c>
      <c r="G349" s="419">
        <v>0.34362945998071359</v>
      </c>
      <c r="H349" s="419">
        <v>0.42470506592643997</v>
      </c>
      <c r="I349" s="419">
        <v>0.99686028257456827</v>
      </c>
      <c r="J349" s="420">
        <v>0.65981301132057379</v>
      </c>
      <c r="K349" s="420">
        <v>0</v>
      </c>
      <c r="L349" s="419">
        <v>0</v>
      </c>
      <c r="M349" s="419">
        <v>0</v>
      </c>
      <c r="N349" s="419">
        <v>0</v>
      </c>
      <c r="O349" s="420">
        <v>0</v>
      </c>
      <c r="P349" s="420">
        <v>0</v>
      </c>
      <c r="Q349" s="419">
        <v>0</v>
      </c>
      <c r="R349" s="420">
        <v>0</v>
      </c>
      <c r="S349" s="420">
        <v>0</v>
      </c>
      <c r="T349" s="420">
        <v>0</v>
      </c>
      <c r="U349" s="420">
        <v>0.65981301132057379</v>
      </c>
      <c r="V349" s="421"/>
    </row>
    <row r="350" spans="1:22">
      <c r="A350" s="416"/>
      <c r="B350" s="422" t="s">
        <v>607</v>
      </c>
      <c r="C350" s="423">
        <v>-1.116459491032773</v>
      </c>
      <c r="D350" s="424">
        <v>-0.95927005289488387</v>
      </c>
      <c r="E350" s="424">
        <v>-4.7600146929801408</v>
      </c>
      <c r="F350" s="424">
        <v>-1.10868631073755</v>
      </c>
      <c r="G350" s="424">
        <v>-10.059922667674186</v>
      </c>
      <c r="H350" s="424">
        <v>-41.202962795111105</v>
      </c>
      <c r="I350" s="424">
        <v>-0.31397174254317317</v>
      </c>
      <c r="J350" s="426">
        <v>-2.5279018359134486</v>
      </c>
      <c r="K350" s="426">
        <v>0</v>
      </c>
      <c r="L350" s="424">
        <v>0</v>
      </c>
      <c r="M350" s="424">
        <v>0</v>
      </c>
      <c r="N350" s="424">
        <v>0</v>
      </c>
      <c r="O350" s="426">
        <v>0</v>
      </c>
      <c r="P350" s="426">
        <v>0</v>
      </c>
      <c r="Q350" s="424">
        <v>0</v>
      </c>
      <c r="R350" s="426">
        <v>0</v>
      </c>
      <c r="S350" s="426">
        <v>0</v>
      </c>
      <c r="T350" s="426">
        <v>0</v>
      </c>
      <c r="U350" s="426">
        <v>-2.5279018359134486</v>
      </c>
      <c r="V350" s="421"/>
    </row>
    <row r="351" spans="1:22">
      <c r="A351" s="416"/>
      <c r="B351" s="394" t="s">
        <v>608</v>
      </c>
      <c r="C351" s="413">
        <v>1.8835521683461722E-2</v>
      </c>
      <c r="D351" s="414">
        <v>1.581115441413233E-2</v>
      </c>
      <c r="E351" s="414">
        <v>5.7439082539643728E-2</v>
      </c>
      <c r="F351" s="414">
        <v>1.2277555524899985E-2</v>
      </c>
      <c r="G351" s="414">
        <v>3.1703947122745435E-2</v>
      </c>
      <c r="H351" s="414">
        <v>0</v>
      </c>
      <c r="I351" s="414">
        <v>0</v>
      </c>
      <c r="J351" s="415">
        <v>2.6369821015962983E-2</v>
      </c>
      <c r="K351" s="415">
        <v>0</v>
      </c>
      <c r="L351" s="414">
        <v>0</v>
      </c>
      <c r="M351" s="414">
        <v>0</v>
      </c>
      <c r="N351" s="414">
        <v>0</v>
      </c>
      <c r="O351" s="415">
        <v>0</v>
      </c>
      <c r="P351" s="415">
        <v>0</v>
      </c>
      <c r="Q351" s="414">
        <v>0</v>
      </c>
      <c r="R351" s="415">
        <v>0</v>
      </c>
      <c r="S351" s="415">
        <v>0</v>
      </c>
      <c r="T351" s="415">
        <v>0</v>
      </c>
      <c r="U351" s="415">
        <v>2.6369821015962983E-2</v>
      </c>
      <c r="V351" s="421"/>
    </row>
    <row r="352" spans="1:22">
      <c r="A352" s="416"/>
      <c r="B352" s="417" t="s">
        <v>609</v>
      </c>
      <c r="C352" s="418">
        <v>1.6076735109288962E-2</v>
      </c>
      <c r="D352" s="419">
        <v>1.4497906750014337E-2</v>
      </c>
      <c r="E352" s="419">
        <v>6.4141065470026459E-2</v>
      </c>
      <c r="F352" s="419">
        <v>0</v>
      </c>
      <c r="G352" s="419">
        <v>3.2274590163934427E-2</v>
      </c>
      <c r="H352" s="419">
        <v>0</v>
      </c>
      <c r="I352" s="419">
        <v>0</v>
      </c>
      <c r="J352" s="420">
        <v>2.6189199471566758E-2</v>
      </c>
      <c r="K352" s="420">
        <v>0</v>
      </c>
      <c r="L352" s="419">
        <v>0</v>
      </c>
      <c r="M352" s="419">
        <v>0</v>
      </c>
      <c r="N352" s="419">
        <v>0</v>
      </c>
      <c r="O352" s="420">
        <v>0</v>
      </c>
      <c r="P352" s="420">
        <v>0</v>
      </c>
      <c r="Q352" s="419">
        <v>0</v>
      </c>
      <c r="R352" s="420">
        <v>0</v>
      </c>
      <c r="S352" s="420">
        <v>0</v>
      </c>
      <c r="T352" s="420">
        <v>0</v>
      </c>
      <c r="U352" s="420">
        <v>2.6189199471566758E-2</v>
      </c>
      <c r="V352" s="421"/>
    </row>
    <row r="353" spans="1:22">
      <c r="A353" s="416"/>
      <c r="B353" s="422" t="s">
        <v>610</v>
      </c>
      <c r="C353" s="423">
        <v>-0.27587865741727607</v>
      </c>
      <c r="D353" s="424">
        <v>-0.13132476641179933</v>
      </c>
      <c r="E353" s="424">
        <v>0.67019829303827316</v>
      </c>
      <c r="F353" s="424">
        <v>-1.2277555524899986</v>
      </c>
      <c r="G353" s="424">
        <v>5.7064304118899234E-2</v>
      </c>
      <c r="H353" s="424">
        <v>0</v>
      </c>
      <c r="I353" s="424">
        <v>0</v>
      </c>
      <c r="J353" s="426">
        <v>-1.8062154439622488E-2</v>
      </c>
      <c r="K353" s="426">
        <v>0</v>
      </c>
      <c r="L353" s="424">
        <v>0</v>
      </c>
      <c r="M353" s="424">
        <v>0</v>
      </c>
      <c r="N353" s="424">
        <v>0</v>
      </c>
      <c r="O353" s="426">
        <v>0</v>
      </c>
      <c r="P353" s="426">
        <v>0</v>
      </c>
      <c r="Q353" s="424">
        <v>0</v>
      </c>
      <c r="R353" s="426">
        <v>0</v>
      </c>
      <c r="S353" s="426">
        <v>0</v>
      </c>
      <c r="T353" s="426">
        <v>0</v>
      </c>
      <c r="U353" s="426">
        <v>-1.8062154439622488E-2</v>
      </c>
      <c r="V353" s="421"/>
    </row>
    <row r="354" spans="1:22">
      <c r="A354" s="416"/>
      <c r="B354" s="394" t="s">
        <v>611</v>
      </c>
      <c r="C354" s="413">
        <v>0.18557310857664058</v>
      </c>
      <c r="D354" s="414">
        <v>0.61071694258463516</v>
      </c>
      <c r="E354" s="414">
        <v>0.3772053159883117</v>
      </c>
      <c r="F354" s="414">
        <v>0.64374396468478412</v>
      </c>
      <c r="G354" s="414">
        <v>0.46192912356697413</v>
      </c>
      <c r="H354" s="414">
        <v>0.16326530612244897</v>
      </c>
      <c r="I354" s="414">
        <v>0</v>
      </c>
      <c r="J354" s="415">
        <v>0.28631374963118922</v>
      </c>
      <c r="K354" s="415">
        <v>0</v>
      </c>
      <c r="L354" s="414">
        <v>0</v>
      </c>
      <c r="M354" s="414">
        <v>0</v>
      </c>
      <c r="N354" s="414">
        <v>0</v>
      </c>
      <c r="O354" s="415">
        <v>0</v>
      </c>
      <c r="P354" s="415">
        <v>0</v>
      </c>
      <c r="Q354" s="414">
        <v>0</v>
      </c>
      <c r="R354" s="415">
        <v>0</v>
      </c>
      <c r="S354" s="415">
        <v>0</v>
      </c>
      <c r="T354" s="415">
        <v>0</v>
      </c>
      <c r="U354" s="415">
        <v>0.28631374963118922</v>
      </c>
      <c r="V354" s="421"/>
    </row>
    <row r="355" spans="1:22">
      <c r="A355" s="416"/>
      <c r="B355" s="417" t="s">
        <v>612</v>
      </c>
      <c r="C355" s="418">
        <v>0.19962938248016093</v>
      </c>
      <c r="D355" s="419">
        <v>0.62141423409990248</v>
      </c>
      <c r="E355" s="419">
        <v>0.41832355310090896</v>
      </c>
      <c r="F355" s="419">
        <v>0.66710838331705957</v>
      </c>
      <c r="G355" s="419">
        <v>0.57838114754098358</v>
      </c>
      <c r="H355" s="419">
        <v>0.57529493407356003</v>
      </c>
      <c r="I355" s="419">
        <v>3.1397174254317113E-3</v>
      </c>
      <c r="J355" s="420">
        <v>0.3120841658753149</v>
      </c>
      <c r="K355" s="420">
        <v>0</v>
      </c>
      <c r="L355" s="419">
        <v>0</v>
      </c>
      <c r="M355" s="419">
        <v>0</v>
      </c>
      <c r="N355" s="419">
        <v>0</v>
      </c>
      <c r="O355" s="420">
        <v>0</v>
      </c>
      <c r="P355" s="420">
        <v>0</v>
      </c>
      <c r="Q355" s="419">
        <v>0</v>
      </c>
      <c r="R355" s="420">
        <v>0</v>
      </c>
      <c r="S355" s="420">
        <v>0</v>
      </c>
      <c r="T355" s="420">
        <v>0</v>
      </c>
      <c r="U355" s="420">
        <v>0.3120841658753149</v>
      </c>
      <c r="V355" s="421"/>
    </row>
    <row r="356" spans="1:22">
      <c r="A356" s="416"/>
      <c r="B356" s="422" t="s">
        <v>613</v>
      </c>
      <c r="C356" s="423">
        <v>1.4056273903520351</v>
      </c>
      <c r="D356" s="424">
        <v>1.0697291515267326</v>
      </c>
      <c r="E356" s="424">
        <v>4.1118237112597269</v>
      </c>
      <c r="F356" s="424">
        <v>2.3364418632275452</v>
      </c>
      <c r="G356" s="424">
        <v>11.645202397400944</v>
      </c>
      <c r="H356" s="424">
        <v>41.202962795111105</v>
      </c>
      <c r="I356" s="424">
        <v>0</v>
      </c>
      <c r="J356" s="426">
        <v>2.5770416244125682</v>
      </c>
      <c r="K356" s="426">
        <v>0</v>
      </c>
      <c r="L356" s="424">
        <v>0</v>
      </c>
      <c r="M356" s="424">
        <v>0</v>
      </c>
      <c r="N356" s="424">
        <v>0</v>
      </c>
      <c r="O356" s="426">
        <v>0</v>
      </c>
      <c r="P356" s="426">
        <v>0</v>
      </c>
      <c r="Q356" s="424">
        <v>0</v>
      </c>
      <c r="R356" s="426">
        <v>0</v>
      </c>
      <c r="S356" s="426">
        <v>0</v>
      </c>
      <c r="T356" s="426">
        <v>0</v>
      </c>
      <c r="U356" s="426">
        <v>2.5770416244125682</v>
      </c>
      <c r="V356" s="421"/>
    </row>
    <row r="357" spans="1:22">
      <c r="A357" s="416"/>
      <c r="B357" s="394" t="s">
        <v>614</v>
      </c>
      <c r="C357" s="413">
        <v>2.4042910871402865E-4</v>
      </c>
      <c r="D357" s="414">
        <v>6.6620032643815991E-5</v>
      </c>
      <c r="E357" s="414">
        <v>2.2007311317871159E-4</v>
      </c>
      <c r="F357" s="414">
        <v>0</v>
      </c>
      <c r="G357" s="414">
        <v>0</v>
      </c>
      <c r="H357" s="414">
        <v>0</v>
      </c>
      <c r="I357" s="414">
        <v>0</v>
      </c>
      <c r="J357" s="415">
        <v>2.0398424950187775E-4</v>
      </c>
      <c r="K357" s="415">
        <v>0</v>
      </c>
      <c r="L357" s="414">
        <v>0</v>
      </c>
      <c r="M357" s="414">
        <v>0</v>
      </c>
      <c r="N357" s="414">
        <v>0</v>
      </c>
      <c r="O357" s="415">
        <v>0</v>
      </c>
      <c r="P357" s="415">
        <v>0</v>
      </c>
      <c r="Q357" s="414">
        <v>0</v>
      </c>
      <c r="R357" s="415">
        <v>0</v>
      </c>
      <c r="S357" s="415">
        <v>0</v>
      </c>
      <c r="T357" s="415">
        <v>0</v>
      </c>
      <c r="U357" s="415">
        <v>2.0398424950187775E-4</v>
      </c>
      <c r="V357" s="421"/>
    </row>
    <row r="358" spans="1:22">
      <c r="A358" s="416"/>
      <c r="B358" s="417" t="s">
        <v>615</v>
      </c>
      <c r="C358" s="418">
        <v>1.0753668969424054E-4</v>
      </c>
      <c r="D358" s="419">
        <v>2.7527671044331022E-4</v>
      </c>
      <c r="E358" s="419">
        <v>0</v>
      </c>
      <c r="F358" s="419">
        <v>0</v>
      </c>
      <c r="G358" s="419">
        <v>9.9445515911282555E-4</v>
      </c>
      <c r="H358" s="419">
        <v>0</v>
      </c>
      <c r="I358" s="419">
        <v>0</v>
      </c>
      <c r="J358" s="420">
        <v>1.3540352947872636E-4</v>
      </c>
      <c r="K358" s="420">
        <v>0</v>
      </c>
      <c r="L358" s="419">
        <v>0</v>
      </c>
      <c r="M358" s="419">
        <v>0</v>
      </c>
      <c r="N358" s="419">
        <v>0</v>
      </c>
      <c r="O358" s="420">
        <v>0</v>
      </c>
      <c r="P358" s="420">
        <v>0</v>
      </c>
      <c r="Q358" s="419">
        <v>0</v>
      </c>
      <c r="R358" s="420">
        <v>0</v>
      </c>
      <c r="S358" s="420">
        <v>0</v>
      </c>
      <c r="T358" s="420">
        <v>0</v>
      </c>
      <c r="U358" s="420">
        <v>1.3540352947872636E-4</v>
      </c>
      <c r="V358" s="421"/>
    </row>
    <row r="359" spans="1:22">
      <c r="A359" s="416"/>
      <c r="B359" s="422" t="s">
        <v>616</v>
      </c>
      <c r="C359" s="423">
        <v>-1.3289241901978811E-2</v>
      </c>
      <c r="D359" s="424">
        <v>2.0865667779949422E-2</v>
      </c>
      <c r="E359" s="424">
        <v>-2.2007311317871158E-2</v>
      </c>
      <c r="F359" s="424">
        <v>0</v>
      </c>
      <c r="G359" s="424">
        <v>0</v>
      </c>
      <c r="H359" s="424">
        <v>0</v>
      </c>
      <c r="I359" s="424">
        <v>0</v>
      </c>
      <c r="J359" s="426">
        <v>-6.8580720023151392E-3</v>
      </c>
      <c r="K359" s="426">
        <v>0</v>
      </c>
      <c r="L359" s="424">
        <v>0</v>
      </c>
      <c r="M359" s="424">
        <v>0</v>
      </c>
      <c r="N359" s="424">
        <v>0</v>
      </c>
      <c r="O359" s="426">
        <v>0</v>
      </c>
      <c r="P359" s="426">
        <v>0</v>
      </c>
      <c r="Q359" s="424">
        <v>0</v>
      </c>
      <c r="R359" s="426">
        <v>0</v>
      </c>
      <c r="S359" s="426">
        <v>0</v>
      </c>
      <c r="T359" s="426">
        <v>0</v>
      </c>
      <c r="U359" s="426">
        <v>-6.8580720023151392E-3</v>
      </c>
      <c r="V359" s="421"/>
    </row>
    <row r="360" spans="1:22">
      <c r="A360" s="416"/>
      <c r="B360" s="394" t="s">
        <v>617</v>
      </c>
      <c r="C360" s="413">
        <v>0</v>
      </c>
      <c r="D360" s="414">
        <v>0</v>
      </c>
      <c r="E360" s="414">
        <v>0</v>
      </c>
      <c r="F360" s="414">
        <v>0</v>
      </c>
      <c r="G360" s="414">
        <v>6.2138242652824978E-2</v>
      </c>
      <c r="H360" s="414">
        <v>0</v>
      </c>
      <c r="I360" s="414">
        <v>0</v>
      </c>
      <c r="J360" s="415">
        <v>2.0204154236376465E-3</v>
      </c>
      <c r="K360" s="415">
        <v>0</v>
      </c>
      <c r="L360" s="414">
        <v>0</v>
      </c>
      <c r="M360" s="414">
        <v>0</v>
      </c>
      <c r="N360" s="414">
        <v>0</v>
      </c>
      <c r="O360" s="415">
        <v>0</v>
      </c>
      <c r="P360" s="415">
        <v>0</v>
      </c>
      <c r="Q360" s="414">
        <v>0</v>
      </c>
      <c r="R360" s="415">
        <v>0</v>
      </c>
      <c r="S360" s="415">
        <v>0</v>
      </c>
      <c r="T360" s="415">
        <v>0</v>
      </c>
      <c r="U360" s="415">
        <v>2.0204154236376465E-3</v>
      </c>
      <c r="V360" s="421"/>
    </row>
    <row r="361" spans="1:22">
      <c r="A361" s="416"/>
      <c r="B361" s="417" t="s">
        <v>618</v>
      </c>
      <c r="C361" s="418">
        <v>0</v>
      </c>
      <c r="D361" s="419">
        <v>0</v>
      </c>
      <c r="E361" s="419">
        <v>0</v>
      </c>
      <c r="F361" s="419">
        <v>0</v>
      </c>
      <c r="G361" s="419">
        <v>4.4720347155255545E-2</v>
      </c>
      <c r="H361" s="419">
        <v>0</v>
      </c>
      <c r="I361" s="419">
        <v>0</v>
      </c>
      <c r="J361" s="420">
        <v>1.7782198030657516E-3</v>
      </c>
      <c r="K361" s="420">
        <v>0</v>
      </c>
      <c r="L361" s="419">
        <v>0</v>
      </c>
      <c r="M361" s="419">
        <v>0</v>
      </c>
      <c r="N361" s="419">
        <v>0</v>
      </c>
      <c r="O361" s="420">
        <v>0</v>
      </c>
      <c r="P361" s="420">
        <v>0</v>
      </c>
      <c r="Q361" s="419">
        <v>0</v>
      </c>
      <c r="R361" s="420">
        <v>0</v>
      </c>
      <c r="S361" s="420">
        <v>0</v>
      </c>
      <c r="T361" s="420">
        <v>0</v>
      </c>
      <c r="U361" s="420">
        <v>1.7782198030657516E-3</v>
      </c>
      <c r="V361" s="421"/>
    </row>
    <row r="362" spans="1:22">
      <c r="A362" s="416"/>
      <c r="B362" s="422" t="s">
        <v>619</v>
      </c>
      <c r="C362" s="423">
        <v>0</v>
      </c>
      <c r="D362" s="424">
        <v>0</v>
      </c>
      <c r="E362" s="424">
        <v>0</v>
      </c>
      <c r="F362" s="424">
        <v>0</v>
      </c>
      <c r="G362" s="424">
        <v>-1.7417895497569433</v>
      </c>
      <c r="H362" s="424">
        <v>0</v>
      </c>
      <c r="I362" s="424">
        <v>0</v>
      </c>
      <c r="J362" s="426">
        <v>-2.4219562057189482E-2</v>
      </c>
      <c r="K362" s="426">
        <v>0</v>
      </c>
      <c r="L362" s="424">
        <v>0</v>
      </c>
      <c r="M362" s="424">
        <v>0</v>
      </c>
      <c r="N362" s="424">
        <v>0</v>
      </c>
      <c r="O362" s="426">
        <v>0</v>
      </c>
      <c r="P362" s="426">
        <v>0</v>
      </c>
      <c r="Q362" s="424">
        <v>0</v>
      </c>
      <c r="R362" s="426">
        <v>0</v>
      </c>
      <c r="S362" s="426">
        <v>0</v>
      </c>
      <c r="T362" s="426">
        <v>0</v>
      </c>
      <c r="U362" s="426">
        <v>-2.4219562057189482E-2</v>
      </c>
      <c r="V362" s="421"/>
    </row>
    <row r="363" spans="1:22">
      <c r="A363" s="416"/>
      <c r="B363" s="394" t="s">
        <v>620</v>
      </c>
      <c r="C363" s="413">
        <v>0</v>
      </c>
      <c r="D363" s="414">
        <v>0</v>
      </c>
      <c r="E363" s="414">
        <v>0</v>
      </c>
      <c r="F363" s="414">
        <v>0</v>
      </c>
      <c r="G363" s="414">
        <v>0</v>
      </c>
      <c r="H363" s="414">
        <v>0</v>
      </c>
      <c r="I363" s="414">
        <v>0</v>
      </c>
      <c r="J363" s="415">
        <v>0</v>
      </c>
      <c r="K363" s="415">
        <v>0</v>
      </c>
      <c r="L363" s="414">
        <v>0</v>
      </c>
      <c r="M363" s="414">
        <v>0</v>
      </c>
      <c r="N363" s="414">
        <v>0</v>
      </c>
      <c r="O363" s="415">
        <v>0</v>
      </c>
      <c r="P363" s="415">
        <v>0</v>
      </c>
      <c r="Q363" s="414">
        <v>0</v>
      </c>
      <c r="R363" s="415">
        <v>0</v>
      </c>
      <c r="S363" s="415">
        <v>0</v>
      </c>
      <c r="T363" s="415">
        <v>0</v>
      </c>
      <c r="U363" s="415">
        <v>0</v>
      </c>
      <c r="V363" s="421"/>
    </row>
    <row r="364" spans="1:22">
      <c r="A364" s="416"/>
      <c r="B364" s="417" t="s">
        <v>621</v>
      </c>
      <c r="C364" s="418">
        <v>0</v>
      </c>
      <c r="D364" s="419">
        <v>0</v>
      </c>
      <c r="E364" s="419">
        <v>0</v>
      </c>
      <c r="F364" s="419">
        <v>0</v>
      </c>
      <c r="G364" s="419">
        <v>0</v>
      </c>
      <c r="H364" s="419">
        <v>0</v>
      </c>
      <c r="I364" s="419">
        <v>0</v>
      </c>
      <c r="J364" s="420">
        <v>0</v>
      </c>
      <c r="K364" s="420">
        <v>0</v>
      </c>
      <c r="L364" s="419">
        <v>0</v>
      </c>
      <c r="M364" s="419">
        <v>0</v>
      </c>
      <c r="N364" s="419">
        <v>0</v>
      </c>
      <c r="O364" s="420">
        <v>0</v>
      </c>
      <c r="P364" s="420">
        <v>0</v>
      </c>
      <c r="Q364" s="419">
        <v>0</v>
      </c>
      <c r="R364" s="420">
        <v>0</v>
      </c>
      <c r="S364" s="420">
        <v>0</v>
      </c>
      <c r="T364" s="420">
        <v>0</v>
      </c>
      <c r="U364" s="420">
        <v>0</v>
      </c>
      <c r="V364" s="421"/>
    </row>
    <row r="365" spans="1:22" ht="15" thickBot="1">
      <c r="A365" s="432"/>
      <c r="B365" s="433" t="s">
        <v>622</v>
      </c>
      <c r="C365" s="434">
        <v>0</v>
      </c>
      <c r="D365" s="435">
        <v>0</v>
      </c>
      <c r="E365" s="435">
        <v>0</v>
      </c>
      <c r="F365" s="435">
        <v>0</v>
      </c>
      <c r="G365" s="435">
        <v>0</v>
      </c>
      <c r="H365" s="435">
        <v>0</v>
      </c>
      <c r="I365" s="435">
        <v>0</v>
      </c>
      <c r="J365" s="436">
        <v>0</v>
      </c>
      <c r="K365" s="436">
        <v>0</v>
      </c>
      <c r="L365" s="435">
        <v>0</v>
      </c>
      <c r="M365" s="435">
        <v>0</v>
      </c>
      <c r="N365" s="435">
        <v>0</v>
      </c>
      <c r="O365" s="436">
        <v>0</v>
      </c>
      <c r="P365" s="436">
        <v>0</v>
      </c>
      <c r="Q365" s="435">
        <v>0</v>
      </c>
      <c r="R365" s="436">
        <v>0</v>
      </c>
      <c r="S365" s="436">
        <v>0</v>
      </c>
      <c r="T365" s="436">
        <v>0</v>
      </c>
      <c r="U365" s="436">
        <v>0</v>
      </c>
      <c r="V365" s="421"/>
    </row>
    <row r="366" spans="1:22">
      <c r="A366" s="412" t="s">
        <v>374</v>
      </c>
      <c r="B366" s="394" t="s">
        <v>587</v>
      </c>
      <c r="C366" s="413">
        <v>0.84380675355979851</v>
      </c>
      <c r="D366" s="414">
        <v>0</v>
      </c>
      <c r="E366" s="414">
        <v>0.73184446520589774</v>
      </c>
      <c r="F366" s="414">
        <v>0.66235951738933607</v>
      </c>
      <c r="G366" s="414">
        <v>0.73380604310859032</v>
      </c>
      <c r="H366" s="414">
        <v>0.7409269533055941</v>
      </c>
      <c r="I366" s="414">
        <v>0</v>
      </c>
      <c r="J366" s="415">
        <v>0.78421045458339933</v>
      </c>
      <c r="K366" s="415">
        <v>0.65774356444117754</v>
      </c>
      <c r="L366" s="414">
        <v>0.69502749494188198</v>
      </c>
      <c r="M366" s="414">
        <v>0.67721983132948649</v>
      </c>
      <c r="N366" s="414">
        <v>0.65245664514640733</v>
      </c>
      <c r="O366" s="415">
        <v>0.67558822605472313</v>
      </c>
      <c r="P366" s="415">
        <v>0</v>
      </c>
      <c r="Q366" s="414">
        <v>0</v>
      </c>
      <c r="R366" s="415">
        <v>0</v>
      </c>
      <c r="S366" s="415">
        <v>0</v>
      </c>
      <c r="T366" s="415">
        <v>0</v>
      </c>
      <c r="U366" s="415">
        <v>0.74601599236502092</v>
      </c>
      <c r="V366" s="421"/>
    </row>
    <row r="367" spans="1:22">
      <c r="A367" s="416"/>
      <c r="B367" s="417" t="s">
        <v>588</v>
      </c>
      <c r="C367" s="418">
        <v>0.83246764192601608</v>
      </c>
      <c r="D367" s="419">
        <v>0</v>
      </c>
      <c r="E367" s="419">
        <v>0.71875167537364559</v>
      </c>
      <c r="F367" s="419">
        <v>0.65241141632809818</v>
      </c>
      <c r="G367" s="419">
        <v>0.72572000260046088</v>
      </c>
      <c r="H367" s="419">
        <v>0.72279407476526503</v>
      </c>
      <c r="I367" s="419">
        <v>0</v>
      </c>
      <c r="J367" s="420">
        <v>0.77334679411411877</v>
      </c>
      <c r="K367" s="420">
        <v>0.65223780895123584</v>
      </c>
      <c r="L367" s="419">
        <v>0.69223439091204853</v>
      </c>
      <c r="M367" s="419">
        <v>0.6644619549113846</v>
      </c>
      <c r="N367" s="419">
        <v>0.62868265601462403</v>
      </c>
      <c r="O367" s="420">
        <v>0.6656850828774995</v>
      </c>
      <c r="P367" s="420">
        <v>0</v>
      </c>
      <c r="Q367" s="419">
        <v>0</v>
      </c>
      <c r="R367" s="420">
        <v>0</v>
      </c>
      <c r="S367" s="420">
        <v>0</v>
      </c>
      <c r="T367" s="420">
        <v>0</v>
      </c>
      <c r="U367" s="420">
        <v>0.73653136635769989</v>
      </c>
      <c r="V367" s="421"/>
    </row>
    <row r="368" spans="1:22">
      <c r="A368" s="416"/>
      <c r="B368" s="422" t="s">
        <v>589</v>
      </c>
      <c r="C368" s="423">
        <v>-1.1339111633782428</v>
      </c>
      <c r="D368" s="424">
        <v>0</v>
      </c>
      <c r="E368" s="424">
        <v>-1.309278983225215</v>
      </c>
      <c r="F368" s="424">
        <v>-0.99481010612378906</v>
      </c>
      <c r="G368" s="424">
        <v>-0.8086040508129444</v>
      </c>
      <c r="H368" s="424">
        <v>-1.8132878540329078</v>
      </c>
      <c r="I368" s="424">
        <v>0</v>
      </c>
      <c r="J368" s="426">
        <v>-1.0863660469280556</v>
      </c>
      <c r="K368" s="426">
        <v>-0.55057554899416994</v>
      </c>
      <c r="L368" s="424">
        <v>-0.27931040298334597</v>
      </c>
      <c r="M368" s="424">
        <v>-1.2757876418101888</v>
      </c>
      <c r="N368" s="424">
        <v>-2.3773989131783302</v>
      </c>
      <c r="O368" s="426">
        <v>-0.99031431772236278</v>
      </c>
      <c r="P368" s="426">
        <v>0</v>
      </c>
      <c r="Q368" s="424">
        <v>0</v>
      </c>
      <c r="R368" s="426">
        <v>0</v>
      </c>
      <c r="S368" s="426">
        <v>0</v>
      </c>
      <c r="T368" s="426">
        <v>0</v>
      </c>
      <c r="U368" s="426">
        <v>-0.94846260073210287</v>
      </c>
      <c r="V368" s="421"/>
    </row>
    <row r="369" spans="1:22">
      <c r="A369" s="416"/>
      <c r="B369" s="394" t="s">
        <v>590</v>
      </c>
      <c r="C369" s="413">
        <v>1.2096941081423821E-2</v>
      </c>
      <c r="D369" s="414">
        <v>0</v>
      </c>
      <c r="E369" s="414">
        <v>9.9991647939274685E-3</v>
      </c>
      <c r="F369" s="414">
        <v>1.0185604345857854E-2</v>
      </c>
      <c r="G369" s="414">
        <v>1.0605969696221029E-2</v>
      </c>
      <c r="H369" s="414">
        <v>2.3838418862690708E-4</v>
      </c>
      <c r="I369" s="414">
        <v>0</v>
      </c>
      <c r="J369" s="415">
        <v>1.059240822042431E-2</v>
      </c>
      <c r="K369" s="415">
        <v>1.5103990977882723E-5</v>
      </c>
      <c r="L369" s="414">
        <v>4.1284487584286725E-2</v>
      </c>
      <c r="M369" s="414">
        <v>3.8356137947005808E-3</v>
      </c>
      <c r="N369" s="414">
        <v>3.0042115698151087E-2</v>
      </c>
      <c r="O369" s="415">
        <v>2.5918857789086796E-2</v>
      </c>
      <c r="P369" s="415">
        <v>0</v>
      </c>
      <c r="Q369" s="414">
        <v>0</v>
      </c>
      <c r="R369" s="415">
        <v>0</v>
      </c>
      <c r="S369" s="415">
        <v>0</v>
      </c>
      <c r="T369" s="415">
        <v>0</v>
      </c>
      <c r="U369" s="415">
        <v>1.5981595193674633E-2</v>
      </c>
      <c r="V369" s="421"/>
    </row>
    <row r="370" spans="1:22">
      <c r="A370" s="416"/>
      <c r="B370" s="417" t="s">
        <v>591</v>
      </c>
      <c r="C370" s="418">
        <v>1.3738960575372168E-2</v>
      </c>
      <c r="D370" s="419">
        <v>0</v>
      </c>
      <c r="E370" s="419">
        <v>4.1718044791796971E-3</v>
      </c>
      <c r="F370" s="419">
        <v>1.0475410830149778E-2</v>
      </c>
      <c r="G370" s="419">
        <v>1.2807269732802646E-2</v>
      </c>
      <c r="H370" s="419">
        <v>0</v>
      </c>
      <c r="I370" s="419">
        <v>0</v>
      </c>
      <c r="J370" s="420">
        <v>1.0468365516953747E-2</v>
      </c>
      <c r="K370" s="420">
        <v>1.5415446277169723E-5</v>
      </c>
      <c r="L370" s="419">
        <v>4.3901612645512525E-2</v>
      </c>
      <c r="M370" s="419">
        <v>5.6699762453608143E-3</v>
      </c>
      <c r="N370" s="419">
        <v>2.8117330444643793E-2</v>
      </c>
      <c r="O370" s="420">
        <v>2.6678173178519449E-2</v>
      </c>
      <c r="P370" s="420">
        <v>0</v>
      </c>
      <c r="Q370" s="419">
        <v>0</v>
      </c>
      <c r="R370" s="420">
        <v>0</v>
      </c>
      <c r="S370" s="420">
        <v>0</v>
      </c>
      <c r="T370" s="420">
        <v>0</v>
      </c>
      <c r="U370" s="420">
        <v>1.601138537104313E-2</v>
      </c>
      <c r="V370" s="421"/>
    </row>
    <row r="371" spans="1:22">
      <c r="A371" s="416"/>
      <c r="B371" s="422" t="s">
        <v>592</v>
      </c>
      <c r="C371" s="423">
        <v>0.16420194939483473</v>
      </c>
      <c r="D371" s="424">
        <v>0</v>
      </c>
      <c r="E371" s="424">
        <v>-0.58273603147477715</v>
      </c>
      <c r="F371" s="424">
        <v>2.8980648429192436E-2</v>
      </c>
      <c r="G371" s="424">
        <v>0.22013000365816177</v>
      </c>
      <c r="H371" s="424">
        <v>-2.3838418862690707E-2</v>
      </c>
      <c r="I371" s="424">
        <v>0</v>
      </c>
      <c r="J371" s="426">
        <v>-1.2404270347056261E-2</v>
      </c>
      <c r="K371" s="426">
        <v>3.1145529928700023E-5</v>
      </c>
      <c r="L371" s="424">
        <v>0.26171250612258001</v>
      </c>
      <c r="M371" s="424">
        <v>0.18343624506602335</v>
      </c>
      <c r="N371" s="424">
        <v>-0.19247852535072935</v>
      </c>
      <c r="O371" s="426">
        <v>7.5931538943265278E-2</v>
      </c>
      <c r="P371" s="426">
        <v>0</v>
      </c>
      <c r="Q371" s="424">
        <v>0</v>
      </c>
      <c r="R371" s="426">
        <v>0</v>
      </c>
      <c r="S371" s="426">
        <v>0</v>
      </c>
      <c r="T371" s="426">
        <v>0</v>
      </c>
      <c r="U371" s="426">
        <v>2.9790177368496651E-3</v>
      </c>
      <c r="V371" s="421"/>
    </row>
    <row r="372" spans="1:22">
      <c r="A372" s="416"/>
      <c r="B372" s="394" t="s">
        <v>593</v>
      </c>
      <c r="C372" s="413">
        <v>0.14331572403677259</v>
      </c>
      <c r="D372" s="414">
        <v>0</v>
      </c>
      <c r="E372" s="414">
        <v>0.24449589486503653</v>
      </c>
      <c r="F372" s="414">
        <v>0.31570452890349754</v>
      </c>
      <c r="G372" s="414">
        <v>0.18781919380512546</v>
      </c>
      <c r="H372" s="414">
        <v>0.24698046694405917</v>
      </c>
      <c r="I372" s="414">
        <v>0</v>
      </c>
      <c r="J372" s="415">
        <v>0.19190615645928205</v>
      </c>
      <c r="K372" s="415">
        <v>0.34224133156784459</v>
      </c>
      <c r="L372" s="414">
        <v>0.25965066972044065</v>
      </c>
      <c r="M372" s="414">
        <v>0.24768415770886001</v>
      </c>
      <c r="N372" s="414">
        <v>0.27681018009059083</v>
      </c>
      <c r="O372" s="415">
        <v>0.27490889956962899</v>
      </c>
      <c r="P372" s="415">
        <v>0</v>
      </c>
      <c r="Q372" s="414">
        <v>0</v>
      </c>
      <c r="R372" s="415">
        <v>0</v>
      </c>
      <c r="S372" s="415">
        <v>0</v>
      </c>
      <c r="T372" s="415">
        <v>0</v>
      </c>
      <c r="U372" s="415">
        <v>0.22109212675920986</v>
      </c>
      <c r="V372" s="421"/>
    </row>
    <row r="373" spans="1:22">
      <c r="A373" s="416"/>
      <c r="B373" s="417" t="s">
        <v>594</v>
      </c>
      <c r="C373" s="418">
        <v>0.15291751500568498</v>
      </c>
      <c r="D373" s="419">
        <v>0</v>
      </c>
      <c r="E373" s="419">
        <v>0.26341341371155574</v>
      </c>
      <c r="F373" s="419">
        <v>0.32562205647524911</v>
      </c>
      <c r="G373" s="419">
        <v>0.19561244464991295</v>
      </c>
      <c r="H373" s="419">
        <v>0.26450691082988276</v>
      </c>
      <c r="I373" s="419">
        <v>0</v>
      </c>
      <c r="J373" s="420">
        <v>0.20320332758756351</v>
      </c>
      <c r="K373" s="420">
        <v>0.34774677560248701</v>
      </c>
      <c r="L373" s="419">
        <v>0.25744190568227976</v>
      </c>
      <c r="M373" s="419">
        <v>0.26419879569503663</v>
      </c>
      <c r="N373" s="419">
        <v>0.29959547062507408</v>
      </c>
      <c r="O373" s="420">
        <v>0.28339942958370534</v>
      </c>
      <c r="P373" s="420">
        <v>0</v>
      </c>
      <c r="Q373" s="419">
        <v>0</v>
      </c>
      <c r="R373" s="420">
        <v>0</v>
      </c>
      <c r="S373" s="420">
        <v>0</v>
      </c>
      <c r="T373" s="420">
        <v>0</v>
      </c>
      <c r="U373" s="420">
        <v>0.23062676128068449</v>
      </c>
      <c r="V373" s="421"/>
    </row>
    <row r="374" spans="1:22">
      <c r="A374" s="416"/>
      <c r="B374" s="422" t="s">
        <v>595</v>
      </c>
      <c r="C374" s="423">
        <v>0.96017909689123937</v>
      </c>
      <c r="D374" s="424">
        <v>0</v>
      </c>
      <c r="E374" s="424">
        <v>1.891751884651921</v>
      </c>
      <c r="F374" s="424">
        <v>0.99175275717515721</v>
      </c>
      <c r="G374" s="424">
        <v>0.77932508447874915</v>
      </c>
      <c r="H374" s="424">
        <v>1.7526443885823584</v>
      </c>
      <c r="I374" s="424">
        <v>0</v>
      </c>
      <c r="J374" s="426">
        <v>1.1297171128281462</v>
      </c>
      <c r="K374" s="426">
        <v>0.5505444034642426</v>
      </c>
      <c r="L374" s="424">
        <v>-0.22087640381608931</v>
      </c>
      <c r="M374" s="424">
        <v>1.651463798617661</v>
      </c>
      <c r="N374" s="424">
        <v>2.2785290534483247</v>
      </c>
      <c r="O374" s="426">
        <v>0.84905300140763473</v>
      </c>
      <c r="P374" s="426">
        <v>0</v>
      </c>
      <c r="Q374" s="424">
        <v>0</v>
      </c>
      <c r="R374" s="426">
        <v>0</v>
      </c>
      <c r="S374" s="426">
        <v>0</v>
      </c>
      <c r="T374" s="426">
        <v>0</v>
      </c>
      <c r="U374" s="426">
        <v>0.95346345214746275</v>
      </c>
      <c r="V374" s="421"/>
    </row>
    <row r="375" spans="1:22">
      <c r="A375" s="416"/>
      <c r="B375" s="394" t="s">
        <v>596</v>
      </c>
      <c r="C375" s="413">
        <v>1.6141395311876591E-4</v>
      </c>
      <c r="D375" s="414">
        <v>0</v>
      </c>
      <c r="E375" s="414">
        <v>6.0600998751075569E-3</v>
      </c>
      <c r="F375" s="414">
        <v>6.9577026787647368E-3</v>
      </c>
      <c r="G375" s="414">
        <v>5.6866350664064293E-2</v>
      </c>
      <c r="H375" s="414">
        <v>1.1854195561719834E-2</v>
      </c>
      <c r="I375" s="414">
        <v>0</v>
      </c>
      <c r="J375" s="415">
        <v>9.5753325939517218E-3</v>
      </c>
      <c r="K375" s="415">
        <v>0</v>
      </c>
      <c r="L375" s="414">
        <v>0</v>
      </c>
      <c r="M375" s="414">
        <v>6.5697550996777113E-2</v>
      </c>
      <c r="N375" s="414">
        <v>4.0691059064850696E-2</v>
      </c>
      <c r="O375" s="415">
        <v>2.0945245499952879E-2</v>
      </c>
      <c r="P375" s="415">
        <v>0</v>
      </c>
      <c r="Q375" s="414">
        <v>0</v>
      </c>
      <c r="R375" s="415">
        <v>0</v>
      </c>
      <c r="S375" s="415">
        <v>0</v>
      </c>
      <c r="T375" s="415">
        <v>0</v>
      </c>
      <c r="U375" s="415">
        <v>1.3573296130483914E-2</v>
      </c>
      <c r="V375" s="421"/>
    </row>
    <row r="376" spans="1:22">
      <c r="A376" s="416"/>
      <c r="B376" s="417" t="s">
        <v>597</v>
      </c>
      <c r="C376" s="418">
        <v>2.4541235886723603E-4</v>
      </c>
      <c r="D376" s="419">
        <v>0</v>
      </c>
      <c r="E376" s="419">
        <v>5.4942327434032469E-3</v>
      </c>
      <c r="F376" s="419">
        <v>8.8836334970590018E-3</v>
      </c>
      <c r="G376" s="419">
        <v>5.6202460324913141E-2</v>
      </c>
      <c r="H376" s="419">
        <v>1.2633405260395405E-2</v>
      </c>
      <c r="I376" s="419">
        <v>0</v>
      </c>
      <c r="J376" s="420">
        <v>9.5091128998623688E-3</v>
      </c>
      <c r="K376" s="420">
        <v>0</v>
      </c>
      <c r="L376" s="419">
        <v>0</v>
      </c>
      <c r="M376" s="419">
        <v>6.5669273148217897E-2</v>
      </c>
      <c r="N376" s="419">
        <v>4.2423114029891164E-2</v>
      </c>
      <c r="O376" s="420">
        <v>2.1188309361893313E-2</v>
      </c>
      <c r="P376" s="420">
        <v>0</v>
      </c>
      <c r="Q376" s="419">
        <v>0</v>
      </c>
      <c r="R376" s="420">
        <v>0</v>
      </c>
      <c r="S376" s="420">
        <v>0</v>
      </c>
      <c r="T376" s="420">
        <v>0</v>
      </c>
      <c r="U376" s="420">
        <v>1.3502868977693275E-2</v>
      </c>
      <c r="V376" s="421"/>
    </row>
    <row r="377" spans="1:22">
      <c r="A377" s="416"/>
      <c r="B377" s="422" t="s">
        <v>598</v>
      </c>
      <c r="C377" s="423">
        <v>8.3998405748470124E-3</v>
      </c>
      <c r="D377" s="424">
        <v>0</v>
      </c>
      <c r="E377" s="424">
        <v>-5.6586713170431006E-2</v>
      </c>
      <c r="F377" s="424">
        <v>0.1925930818294265</v>
      </c>
      <c r="G377" s="424">
        <v>-6.6389033915115192E-2</v>
      </c>
      <c r="H377" s="424">
        <v>7.7920969867557172E-2</v>
      </c>
      <c r="I377" s="424">
        <v>0</v>
      </c>
      <c r="J377" s="426">
        <v>-6.6219694089353007E-3</v>
      </c>
      <c r="K377" s="426">
        <v>0</v>
      </c>
      <c r="L377" s="424">
        <v>0</v>
      </c>
      <c r="M377" s="424">
        <v>-2.8277848559216112E-3</v>
      </c>
      <c r="N377" s="424">
        <v>0.17320549650404679</v>
      </c>
      <c r="O377" s="426">
        <v>2.4306386194043392E-2</v>
      </c>
      <c r="P377" s="426">
        <v>0</v>
      </c>
      <c r="Q377" s="424">
        <v>0</v>
      </c>
      <c r="R377" s="426">
        <v>0</v>
      </c>
      <c r="S377" s="426">
        <v>0</v>
      </c>
      <c r="T377" s="426">
        <v>0</v>
      </c>
      <c r="U377" s="426">
        <v>-7.0427152790639158E-3</v>
      </c>
      <c r="V377" s="421"/>
    </row>
    <row r="378" spans="1:22">
      <c r="A378" s="416"/>
      <c r="B378" s="394" t="s">
        <v>599</v>
      </c>
      <c r="C378" s="413">
        <v>6.1916736888634302E-4</v>
      </c>
      <c r="D378" s="414">
        <v>0</v>
      </c>
      <c r="E378" s="414">
        <v>7.6003752600307282E-3</v>
      </c>
      <c r="F378" s="414">
        <v>4.792646682543744E-3</v>
      </c>
      <c r="G378" s="414">
        <v>1.0902442725998921E-2</v>
      </c>
      <c r="H378" s="414">
        <v>0</v>
      </c>
      <c r="I378" s="414">
        <v>0</v>
      </c>
      <c r="J378" s="415">
        <v>3.7156481429425686E-3</v>
      </c>
      <c r="K378" s="415">
        <v>0</v>
      </c>
      <c r="L378" s="414">
        <v>4.0373477533906773E-3</v>
      </c>
      <c r="M378" s="414">
        <v>5.5628461701758107E-3</v>
      </c>
      <c r="N378" s="414">
        <v>0</v>
      </c>
      <c r="O378" s="415">
        <v>2.6387710866082369E-3</v>
      </c>
      <c r="P378" s="415">
        <v>0</v>
      </c>
      <c r="Q378" s="414">
        <v>0</v>
      </c>
      <c r="R378" s="415">
        <v>0</v>
      </c>
      <c r="S378" s="415">
        <v>0</v>
      </c>
      <c r="T378" s="415">
        <v>0</v>
      </c>
      <c r="U378" s="415">
        <v>3.3369895516106689E-3</v>
      </c>
      <c r="V378" s="421"/>
    </row>
    <row r="379" spans="1:22">
      <c r="A379" s="416"/>
      <c r="B379" s="417" t="s">
        <v>600</v>
      </c>
      <c r="C379" s="418">
        <v>6.3047013405959963E-4</v>
      </c>
      <c r="D379" s="419">
        <v>0</v>
      </c>
      <c r="E379" s="419">
        <v>8.1688736922157432E-3</v>
      </c>
      <c r="F379" s="419">
        <v>2.6074828694439391E-3</v>
      </c>
      <c r="G379" s="419">
        <v>9.6578226919104004E-3</v>
      </c>
      <c r="H379" s="419">
        <v>6.5609144456756278E-5</v>
      </c>
      <c r="I379" s="419">
        <v>0</v>
      </c>
      <c r="J379" s="420">
        <v>3.4723998815015594E-3</v>
      </c>
      <c r="K379" s="420">
        <v>0</v>
      </c>
      <c r="L379" s="419">
        <v>6.4220907601591666E-3</v>
      </c>
      <c r="M379" s="419">
        <v>0</v>
      </c>
      <c r="N379" s="419">
        <v>1.1814288857669979E-3</v>
      </c>
      <c r="O379" s="420">
        <v>3.0490049983824138E-3</v>
      </c>
      <c r="P379" s="420">
        <v>0</v>
      </c>
      <c r="Q379" s="419">
        <v>0</v>
      </c>
      <c r="R379" s="420">
        <v>0</v>
      </c>
      <c r="S379" s="420">
        <v>0</v>
      </c>
      <c r="T379" s="420">
        <v>0</v>
      </c>
      <c r="U379" s="420">
        <v>3.3276180128792767E-3</v>
      </c>
      <c r="V379" s="421"/>
    </row>
    <row r="380" spans="1:22">
      <c r="A380" s="416"/>
      <c r="B380" s="422" t="s">
        <v>601</v>
      </c>
      <c r="C380" s="423">
        <v>1.1302765173256605E-3</v>
      </c>
      <c r="D380" s="424">
        <v>0</v>
      </c>
      <c r="E380" s="424">
        <v>5.6849843218501492E-2</v>
      </c>
      <c r="F380" s="424">
        <v>-0.2185163813099805</v>
      </c>
      <c r="G380" s="424">
        <v>-0.12446200340885202</v>
      </c>
      <c r="H380" s="424">
        <v>0</v>
      </c>
      <c r="I380" s="424">
        <v>0</v>
      </c>
      <c r="J380" s="426">
        <v>-2.4324826144100919E-2</v>
      </c>
      <c r="K380" s="426">
        <v>0</v>
      </c>
      <c r="L380" s="424">
        <v>0.23847430067684894</v>
      </c>
      <c r="M380" s="424">
        <v>-0.55628461701758103</v>
      </c>
      <c r="N380" s="424">
        <v>0</v>
      </c>
      <c r="O380" s="426">
        <v>4.1023391177417684E-2</v>
      </c>
      <c r="P380" s="426">
        <v>0</v>
      </c>
      <c r="Q380" s="424">
        <v>0</v>
      </c>
      <c r="R380" s="426">
        <v>0</v>
      </c>
      <c r="S380" s="426">
        <v>0</v>
      </c>
      <c r="T380" s="426">
        <v>0</v>
      </c>
      <c r="U380" s="426">
        <v>-9.3715387313921678E-4</v>
      </c>
      <c r="V380" s="421"/>
    </row>
    <row r="381" spans="1:22">
      <c r="A381" s="416"/>
      <c r="B381" s="394" t="s">
        <v>602</v>
      </c>
      <c r="C381" s="413">
        <v>0</v>
      </c>
      <c r="D381" s="414">
        <v>0</v>
      </c>
      <c r="E381" s="414">
        <v>0</v>
      </c>
      <c r="F381" s="414">
        <v>0</v>
      </c>
      <c r="G381" s="414">
        <v>0</v>
      </c>
      <c r="H381" s="414">
        <v>0</v>
      </c>
      <c r="I381" s="414">
        <v>0</v>
      </c>
      <c r="J381" s="415">
        <v>0</v>
      </c>
      <c r="K381" s="415">
        <v>0</v>
      </c>
      <c r="L381" s="414">
        <v>0</v>
      </c>
      <c r="M381" s="414">
        <v>0</v>
      </c>
      <c r="N381" s="414">
        <v>0</v>
      </c>
      <c r="O381" s="415">
        <v>0</v>
      </c>
      <c r="P381" s="415">
        <v>0</v>
      </c>
      <c r="Q381" s="414">
        <v>0</v>
      </c>
      <c r="R381" s="415">
        <v>0</v>
      </c>
      <c r="S381" s="415">
        <v>0</v>
      </c>
      <c r="T381" s="415">
        <v>0</v>
      </c>
      <c r="U381" s="415">
        <v>0</v>
      </c>
      <c r="V381" s="421"/>
    </row>
    <row r="382" spans="1:22">
      <c r="A382" s="416"/>
      <c r="B382" s="417" t="s">
        <v>603</v>
      </c>
      <c r="C382" s="418">
        <v>0</v>
      </c>
      <c r="D382" s="419">
        <v>0</v>
      </c>
      <c r="E382" s="419">
        <v>0</v>
      </c>
      <c r="F382" s="419">
        <v>0</v>
      </c>
      <c r="G382" s="419">
        <v>0</v>
      </c>
      <c r="H382" s="419">
        <v>0</v>
      </c>
      <c r="I382" s="419">
        <v>0</v>
      </c>
      <c r="J382" s="420">
        <v>0</v>
      </c>
      <c r="K382" s="420">
        <v>0</v>
      </c>
      <c r="L382" s="419">
        <v>0</v>
      </c>
      <c r="M382" s="419">
        <v>0</v>
      </c>
      <c r="N382" s="419">
        <v>0</v>
      </c>
      <c r="O382" s="420">
        <v>0</v>
      </c>
      <c r="P382" s="420">
        <v>0</v>
      </c>
      <c r="Q382" s="419">
        <v>0</v>
      </c>
      <c r="R382" s="420">
        <v>0</v>
      </c>
      <c r="S382" s="420">
        <v>0</v>
      </c>
      <c r="T382" s="420">
        <v>0</v>
      </c>
      <c r="U382" s="420">
        <v>0</v>
      </c>
      <c r="V382" s="421"/>
    </row>
    <row r="383" spans="1:22" ht="15" thickBot="1">
      <c r="A383" s="416"/>
      <c r="B383" s="428" t="s">
        <v>604</v>
      </c>
      <c r="C383" s="429">
        <v>0</v>
      </c>
      <c r="D383" s="430">
        <v>0</v>
      </c>
      <c r="E383" s="430">
        <v>0</v>
      </c>
      <c r="F383" s="430">
        <v>0</v>
      </c>
      <c r="G383" s="430">
        <v>0</v>
      </c>
      <c r="H383" s="430">
        <v>0</v>
      </c>
      <c r="I383" s="430">
        <v>0</v>
      </c>
      <c r="J383" s="431">
        <v>0</v>
      </c>
      <c r="K383" s="431">
        <v>0</v>
      </c>
      <c r="L383" s="430">
        <v>0</v>
      </c>
      <c r="M383" s="430">
        <v>0</v>
      </c>
      <c r="N383" s="430">
        <v>0</v>
      </c>
      <c r="O383" s="431">
        <v>0</v>
      </c>
      <c r="P383" s="431">
        <v>0</v>
      </c>
      <c r="Q383" s="430">
        <v>0</v>
      </c>
      <c r="R383" s="431">
        <v>0</v>
      </c>
      <c r="S383" s="431">
        <v>0</v>
      </c>
      <c r="T383" s="431">
        <v>0</v>
      </c>
      <c r="U383" s="431">
        <v>0</v>
      </c>
      <c r="V383" s="421"/>
    </row>
    <row r="384" spans="1:22" ht="15" thickTop="1">
      <c r="A384" s="416"/>
      <c r="B384" s="417" t="s">
        <v>605</v>
      </c>
      <c r="C384" s="418">
        <v>0.72898718405126384</v>
      </c>
      <c r="D384" s="419">
        <v>0</v>
      </c>
      <c r="E384" s="419">
        <v>0.7655129404427814</v>
      </c>
      <c r="F384" s="419">
        <v>0.23936001689724365</v>
      </c>
      <c r="G384" s="419">
        <v>0.42724609375</v>
      </c>
      <c r="H384" s="419">
        <v>0.94771241830065356</v>
      </c>
      <c r="I384" s="419">
        <v>0</v>
      </c>
      <c r="J384" s="420">
        <v>0.65615029065134167</v>
      </c>
      <c r="K384" s="420">
        <v>0</v>
      </c>
      <c r="L384" s="419">
        <v>0</v>
      </c>
      <c r="M384" s="419">
        <v>0</v>
      </c>
      <c r="N384" s="419">
        <v>0</v>
      </c>
      <c r="O384" s="420">
        <v>0</v>
      </c>
      <c r="P384" s="420">
        <v>0</v>
      </c>
      <c r="Q384" s="419">
        <v>0</v>
      </c>
      <c r="R384" s="420">
        <v>0</v>
      </c>
      <c r="S384" s="420">
        <v>0</v>
      </c>
      <c r="T384" s="420">
        <v>0</v>
      </c>
      <c r="U384" s="420">
        <v>0.65615029065134167</v>
      </c>
      <c r="V384" s="421"/>
    </row>
    <row r="385" spans="1:22">
      <c r="A385" s="416"/>
      <c r="B385" s="417" t="s">
        <v>606</v>
      </c>
      <c r="C385" s="418">
        <v>0.72673264865626253</v>
      </c>
      <c r="D385" s="419">
        <v>0</v>
      </c>
      <c r="E385" s="419">
        <v>0.73905429071803852</v>
      </c>
      <c r="F385" s="419">
        <v>0.19735358980641998</v>
      </c>
      <c r="G385" s="419">
        <v>0.45487804878048782</v>
      </c>
      <c r="H385" s="419">
        <v>0.94029850746268662</v>
      </c>
      <c r="I385" s="419">
        <v>0</v>
      </c>
      <c r="J385" s="420">
        <v>0.64869978377148063</v>
      </c>
      <c r="K385" s="420">
        <v>0</v>
      </c>
      <c r="L385" s="419">
        <v>0</v>
      </c>
      <c r="M385" s="419">
        <v>0</v>
      </c>
      <c r="N385" s="419">
        <v>0</v>
      </c>
      <c r="O385" s="420">
        <v>0</v>
      </c>
      <c r="P385" s="420">
        <v>0</v>
      </c>
      <c r="Q385" s="419">
        <v>0</v>
      </c>
      <c r="R385" s="420">
        <v>0</v>
      </c>
      <c r="S385" s="420">
        <v>0</v>
      </c>
      <c r="T385" s="420">
        <v>0</v>
      </c>
      <c r="U385" s="420">
        <v>0.64869978377148063</v>
      </c>
      <c r="V385" s="421"/>
    </row>
    <row r="386" spans="1:22">
      <c r="A386" s="416"/>
      <c r="B386" s="422" t="s">
        <v>607</v>
      </c>
      <c r="C386" s="423">
        <v>-0.22545353950013114</v>
      </c>
      <c r="D386" s="424">
        <v>0</v>
      </c>
      <c r="E386" s="424">
        <v>-2.6458649724742878</v>
      </c>
      <c r="F386" s="424">
        <v>-4.2006427090823664</v>
      </c>
      <c r="G386" s="424">
        <v>2.7631955030487818</v>
      </c>
      <c r="H386" s="424">
        <v>-0.74139108379669416</v>
      </c>
      <c r="I386" s="424">
        <v>0</v>
      </c>
      <c r="J386" s="426">
        <v>-0.74505068798610408</v>
      </c>
      <c r="K386" s="426">
        <v>0</v>
      </c>
      <c r="L386" s="424">
        <v>0</v>
      </c>
      <c r="M386" s="424">
        <v>0</v>
      </c>
      <c r="N386" s="424">
        <v>0</v>
      </c>
      <c r="O386" s="426">
        <v>0</v>
      </c>
      <c r="P386" s="426">
        <v>0</v>
      </c>
      <c r="Q386" s="424">
        <v>0</v>
      </c>
      <c r="R386" s="426">
        <v>0</v>
      </c>
      <c r="S386" s="426">
        <v>0</v>
      </c>
      <c r="T386" s="426">
        <v>0</v>
      </c>
      <c r="U386" s="426">
        <v>-0.74505068798610408</v>
      </c>
      <c r="V386" s="421"/>
    </row>
    <row r="387" spans="1:22">
      <c r="A387" s="416"/>
      <c r="B387" s="394" t="s">
        <v>608</v>
      </c>
      <c r="C387" s="413">
        <v>6.4684941260234954E-2</v>
      </c>
      <c r="D387" s="414">
        <v>0</v>
      </c>
      <c r="E387" s="414">
        <v>4.4768141119871712E-3</v>
      </c>
      <c r="F387" s="414">
        <v>2.5425071285246594E-2</v>
      </c>
      <c r="G387" s="414">
        <v>0</v>
      </c>
      <c r="H387" s="414">
        <v>0</v>
      </c>
      <c r="I387" s="414">
        <v>0</v>
      </c>
      <c r="J387" s="415">
        <v>4.721392720634892E-2</v>
      </c>
      <c r="K387" s="415">
        <v>0</v>
      </c>
      <c r="L387" s="414">
        <v>0</v>
      </c>
      <c r="M387" s="414">
        <v>0</v>
      </c>
      <c r="N387" s="414">
        <v>0</v>
      </c>
      <c r="O387" s="415">
        <v>0</v>
      </c>
      <c r="P387" s="415">
        <v>0</v>
      </c>
      <c r="Q387" s="414">
        <v>0</v>
      </c>
      <c r="R387" s="415">
        <v>0</v>
      </c>
      <c r="S387" s="415">
        <v>0</v>
      </c>
      <c r="T387" s="415">
        <v>0</v>
      </c>
      <c r="U387" s="415">
        <v>4.721392720634892E-2</v>
      </c>
      <c r="V387" s="421"/>
    </row>
    <row r="388" spans="1:22">
      <c r="A388" s="416"/>
      <c r="B388" s="417" t="s">
        <v>609</v>
      </c>
      <c r="C388" s="418">
        <v>6.0858649675406724E-2</v>
      </c>
      <c r="D388" s="419">
        <v>0</v>
      </c>
      <c r="E388" s="419">
        <v>2.6602230153627881E-3</v>
      </c>
      <c r="F388" s="419">
        <v>2.1538838519970595E-2</v>
      </c>
      <c r="G388" s="419">
        <v>2.4390243902439024E-3</v>
      </c>
      <c r="H388" s="419">
        <v>0</v>
      </c>
      <c r="I388" s="419">
        <v>0</v>
      </c>
      <c r="J388" s="420">
        <v>4.48019801980198E-2</v>
      </c>
      <c r="K388" s="420">
        <v>0</v>
      </c>
      <c r="L388" s="419">
        <v>0</v>
      </c>
      <c r="M388" s="419">
        <v>0</v>
      </c>
      <c r="N388" s="419">
        <v>0</v>
      </c>
      <c r="O388" s="420">
        <v>0</v>
      </c>
      <c r="P388" s="420">
        <v>0</v>
      </c>
      <c r="Q388" s="419">
        <v>0</v>
      </c>
      <c r="R388" s="420">
        <v>0</v>
      </c>
      <c r="S388" s="420">
        <v>0</v>
      </c>
      <c r="T388" s="420">
        <v>0</v>
      </c>
      <c r="U388" s="420">
        <v>4.48019801980198E-2</v>
      </c>
      <c r="V388" s="421"/>
    </row>
    <row r="389" spans="1:22">
      <c r="A389" s="416"/>
      <c r="B389" s="422" t="s">
        <v>610</v>
      </c>
      <c r="C389" s="423">
        <v>-0.38262915848282297</v>
      </c>
      <c r="D389" s="424">
        <v>0</v>
      </c>
      <c r="E389" s="424">
        <v>-0.18165910966243831</v>
      </c>
      <c r="F389" s="424">
        <v>-0.38862327652759987</v>
      </c>
      <c r="G389" s="424">
        <v>0</v>
      </c>
      <c r="H389" s="424">
        <v>0</v>
      </c>
      <c r="I389" s="424">
        <v>0</v>
      </c>
      <c r="J389" s="426">
        <v>-0.24119470083291197</v>
      </c>
      <c r="K389" s="426">
        <v>0</v>
      </c>
      <c r="L389" s="424">
        <v>0</v>
      </c>
      <c r="M389" s="424">
        <v>0</v>
      </c>
      <c r="N389" s="424">
        <v>0</v>
      </c>
      <c r="O389" s="426">
        <v>0</v>
      </c>
      <c r="P389" s="426">
        <v>0</v>
      </c>
      <c r="Q389" s="424">
        <v>0</v>
      </c>
      <c r="R389" s="426">
        <v>0</v>
      </c>
      <c r="S389" s="426">
        <v>0</v>
      </c>
      <c r="T389" s="426">
        <v>0</v>
      </c>
      <c r="U389" s="426">
        <v>-0.24119470083291197</v>
      </c>
      <c r="V389" s="421"/>
    </row>
    <row r="390" spans="1:22">
      <c r="A390" s="416"/>
      <c r="B390" s="394" t="s">
        <v>611</v>
      </c>
      <c r="C390" s="413">
        <v>0.19754805980776077</v>
      </c>
      <c r="D390" s="414">
        <v>0</v>
      </c>
      <c r="E390" s="414">
        <v>0.17994120005345449</v>
      </c>
      <c r="F390" s="414">
        <v>0.73513570598796074</v>
      </c>
      <c r="G390" s="414">
        <v>0.49495442708333331</v>
      </c>
      <c r="H390" s="414">
        <v>5.2287581699346407E-2</v>
      </c>
      <c r="I390" s="414">
        <v>0</v>
      </c>
      <c r="J390" s="415">
        <v>0.27818325619720385</v>
      </c>
      <c r="K390" s="415">
        <v>0</v>
      </c>
      <c r="L390" s="414">
        <v>0</v>
      </c>
      <c r="M390" s="414">
        <v>0</v>
      </c>
      <c r="N390" s="414">
        <v>0</v>
      </c>
      <c r="O390" s="415">
        <v>0</v>
      </c>
      <c r="P390" s="415">
        <v>0</v>
      </c>
      <c r="Q390" s="414">
        <v>0</v>
      </c>
      <c r="R390" s="415">
        <v>0</v>
      </c>
      <c r="S390" s="415">
        <v>0</v>
      </c>
      <c r="T390" s="415">
        <v>0</v>
      </c>
      <c r="U390" s="415">
        <v>0.27818325619720385</v>
      </c>
      <c r="V390" s="421"/>
    </row>
    <row r="391" spans="1:22">
      <c r="A391" s="416"/>
      <c r="B391" s="417" t="s">
        <v>612</v>
      </c>
      <c r="C391" s="418">
        <v>0.20378326200705116</v>
      </c>
      <c r="D391" s="419">
        <v>0</v>
      </c>
      <c r="E391" s="419">
        <v>0.20244297146910817</v>
      </c>
      <c r="F391" s="419">
        <v>0.78110757167360945</v>
      </c>
      <c r="G391" s="419">
        <v>0.4601766190075694</v>
      </c>
      <c r="H391" s="419">
        <v>5.9701492537313432E-2</v>
      </c>
      <c r="I391" s="419">
        <v>0</v>
      </c>
      <c r="J391" s="420">
        <v>0.28782576533515419</v>
      </c>
      <c r="K391" s="420">
        <v>0</v>
      </c>
      <c r="L391" s="419">
        <v>0</v>
      </c>
      <c r="M391" s="419">
        <v>0</v>
      </c>
      <c r="N391" s="419">
        <v>0</v>
      </c>
      <c r="O391" s="420">
        <v>0</v>
      </c>
      <c r="P391" s="420">
        <v>0</v>
      </c>
      <c r="Q391" s="419">
        <v>0</v>
      </c>
      <c r="R391" s="420">
        <v>0</v>
      </c>
      <c r="S391" s="420">
        <v>0</v>
      </c>
      <c r="T391" s="420">
        <v>0</v>
      </c>
      <c r="U391" s="420">
        <v>0.28782576533515419</v>
      </c>
      <c r="V391" s="421"/>
    </row>
    <row r="392" spans="1:22">
      <c r="A392" s="416"/>
      <c r="B392" s="422" t="s">
        <v>613</v>
      </c>
      <c r="C392" s="423">
        <v>0.6235202199290385</v>
      </c>
      <c r="D392" s="424">
        <v>0</v>
      </c>
      <c r="E392" s="424">
        <v>2.2501771415653682</v>
      </c>
      <c r="F392" s="424">
        <v>4.5971865685648705</v>
      </c>
      <c r="G392" s="424">
        <v>-3.4777808075763916</v>
      </c>
      <c r="H392" s="424">
        <v>0.74139108379670249</v>
      </c>
      <c r="I392" s="424">
        <v>0</v>
      </c>
      <c r="J392" s="426">
        <v>0.96425091379503391</v>
      </c>
      <c r="K392" s="426">
        <v>0</v>
      </c>
      <c r="L392" s="424">
        <v>0</v>
      </c>
      <c r="M392" s="424">
        <v>0</v>
      </c>
      <c r="N392" s="424">
        <v>0</v>
      </c>
      <c r="O392" s="426">
        <v>0</v>
      </c>
      <c r="P392" s="426">
        <v>0</v>
      </c>
      <c r="Q392" s="424">
        <v>0</v>
      </c>
      <c r="R392" s="426">
        <v>0</v>
      </c>
      <c r="S392" s="426">
        <v>0</v>
      </c>
      <c r="T392" s="426">
        <v>0</v>
      </c>
      <c r="U392" s="426">
        <v>0.96425091379503391</v>
      </c>
      <c r="V392" s="421"/>
    </row>
    <row r="393" spans="1:22">
      <c r="A393" s="416"/>
      <c r="B393" s="394" t="s">
        <v>614</v>
      </c>
      <c r="C393" s="413">
        <v>1.1614453542185832E-3</v>
      </c>
      <c r="D393" s="414">
        <v>0</v>
      </c>
      <c r="E393" s="414">
        <v>1.81299835181968E-2</v>
      </c>
      <c r="F393" s="414">
        <v>7.9205829549054813E-5</v>
      </c>
      <c r="G393" s="414">
        <v>4.1788736979166664E-2</v>
      </c>
      <c r="H393" s="414">
        <v>0</v>
      </c>
      <c r="I393" s="414">
        <v>0</v>
      </c>
      <c r="J393" s="415">
        <v>6.3302749534627058E-3</v>
      </c>
      <c r="K393" s="415">
        <v>0</v>
      </c>
      <c r="L393" s="414">
        <v>0</v>
      </c>
      <c r="M393" s="414">
        <v>0</v>
      </c>
      <c r="N393" s="414">
        <v>0</v>
      </c>
      <c r="O393" s="415">
        <v>0</v>
      </c>
      <c r="P393" s="415">
        <v>0</v>
      </c>
      <c r="Q393" s="414">
        <v>0</v>
      </c>
      <c r="R393" s="415">
        <v>0</v>
      </c>
      <c r="S393" s="415">
        <v>0</v>
      </c>
      <c r="T393" s="415">
        <v>0</v>
      </c>
      <c r="U393" s="415">
        <v>6.3302749534627058E-3</v>
      </c>
      <c r="V393" s="421"/>
    </row>
    <row r="394" spans="1:22">
      <c r="A394" s="416"/>
      <c r="B394" s="417" t="s">
        <v>615</v>
      </c>
      <c r="C394" s="418">
        <v>1.4790019015738735E-3</v>
      </c>
      <c r="D394" s="419">
        <v>0</v>
      </c>
      <c r="E394" s="419">
        <v>2.1281784122902304E-2</v>
      </c>
      <c r="F394" s="419">
        <v>0</v>
      </c>
      <c r="G394" s="419">
        <v>4.7855340622371741E-2</v>
      </c>
      <c r="H394" s="419">
        <v>0</v>
      </c>
      <c r="I394" s="419">
        <v>0</v>
      </c>
      <c r="J394" s="420">
        <v>6.984750199157847E-3</v>
      </c>
      <c r="K394" s="420">
        <v>0</v>
      </c>
      <c r="L394" s="419">
        <v>0</v>
      </c>
      <c r="M394" s="419">
        <v>0</v>
      </c>
      <c r="N394" s="419">
        <v>0</v>
      </c>
      <c r="O394" s="420">
        <v>0</v>
      </c>
      <c r="P394" s="420">
        <v>0</v>
      </c>
      <c r="Q394" s="419">
        <v>0</v>
      </c>
      <c r="R394" s="420">
        <v>0</v>
      </c>
      <c r="S394" s="420">
        <v>0</v>
      </c>
      <c r="T394" s="420">
        <v>0</v>
      </c>
      <c r="U394" s="420">
        <v>6.984750199157847E-3</v>
      </c>
      <c r="V394" s="421"/>
    </row>
    <row r="395" spans="1:22">
      <c r="A395" s="416"/>
      <c r="B395" s="422" t="s">
        <v>616</v>
      </c>
      <c r="C395" s="423">
        <v>3.1755654735529028E-2</v>
      </c>
      <c r="D395" s="424">
        <v>0</v>
      </c>
      <c r="E395" s="424">
        <v>0.31518006047055042</v>
      </c>
      <c r="F395" s="424">
        <v>-7.9205829549054817E-3</v>
      </c>
      <c r="G395" s="424">
        <v>0.60666036432050763</v>
      </c>
      <c r="H395" s="424">
        <v>0</v>
      </c>
      <c r="I395" s="424">
        <v>0</v>
      </c>
      <c r="J395" s="426">
        <v>6.5447524569514109E-2</v>
      </c>
      <c r="K395" s="426">
        <v>0</v>
      </c>
      <c r="L395" s="424">
        <v>0</v>
      </c>
      <c r="M395" s="424">
        <v>0</v>
      </c>
      <c r="N395" s="424">
        <v>0</v>
      </c>
      <c r="O395" s="426">
        <v>0</v>
      </c>
      <c r="P395" s="426">
        <v>0</v>
      </c>
      <c r="Q395" s="424">
        <v>0</v>
      </c>
      <c r="R395" s="426">
        <v>0</v>
      </c>
      <c r="S395" s="426">
        <v>0</v>
      </c>
      <c r="T395" s="426">
        <v>0</v>
      </c>
      <c r="U395" s="426">
        <v>6.5447524569514109E-2</v>
      </c>
      <c r="V395" s="421"/>
    </row>
    <row r="396" spans="1:22">
      <c r="A396" s="416"/>
      <c r="B396" s="394" t="s">
        <v>617</v>
      </c>
      <c r="C396" s="413">
        <v>7.6183695265218936E-3</v>
      </c>
      <c r="D396" s="414">
        <v>0</v>
      </c>
      <c r="E396" s="414">
        <v>3.1939061873580116E-2</v>
      </c>
      <c r="F396" s="414">
        <v>0</v>
      </c>
      <c r="G396" s="414">
        <v>3.60107421875E-2</v>
      </c>
      <c r="H396" s="414">
        <v>0</v>
      </c>
      <c r="I396" s="414">
        <v>0</v>
      </c>
      <c r="J396" s="415">
        <v>1.2122250991642835E-2</v>
      </c>
      <c r="K396" s="415">
        <v>0</v>
      </c>
      <c r="L396" s="414">
        <v>0</v>
      </c>
      <c r="M396" s="414">
        <v>0</v>
      </c>
      <c r="N396" s="414">
        <v>0</v>
      </c>
      <c r="O396" s="415">
        <v>0</v>
      </c>
      <c r="P396" s="415">
        <v>0</v>
      </c>
      <c r="Q396" s="414">
        <v>0</v>
      </c>
      <c r="R396" s="415">
        <v>0</v>
      </c>
      <c r="S396" s="415">
        <v>0</v>
      </c>
      <c r="T396" s="415">
        <v>0</v>
      </c>
      <c r="U396" s="415">
        <v>1.2122250991642835E-2</v>
      </c>
      <c r="V396" s="421"/>
    </row>
    <row r="397" spans="1:22">
      <c r="A397" s="416"/>
      <c r="B397" s="417" t="s">
        <v>618</v>
      </c>
      <c r="C397" s="418">
        <v>7.146437759705691E-3</v>
      </c>
      <c r="D397" s="419">
        <v>0</v>
      </c>
      <c r="E397" s="419">
        <v>3.4560730674588216E-2</v>
      </c>
      <c r="F397" s="419">
        <v>0</v>
      </c>
      <c r="G397" s="419">
        <v>3.4650967199327164E-2</v>
      </c>
      <c r="H397" s="419">
        <v>0</v>
      </c>
      <c r="I397" s="419">
        <v>0</v>
      </c>
      <c r="J397" s="420">
        <v>1.168772049618755E-2</v>
      </c>
      <c r="K397" s="420">
        <v>0</v>
      </c>
      <c r="L397" s="419">
        <v>0</v>
      </c>
      <c r="M397" s="419">
        <v>0</v>
      </c>
      <c r="N397" s="419">
        <v>0</v>
      </c>
      <c r="O397" s="420">
        <v>0</v>
      </c>
      <c r="P397" s="420">
        <v>0</v>
      </c>
      <c r="Q397" s="419">
        <v>0</v>
      </c>
      <c r="R397" s="420">
        <v>0</v>
      </c>
      <c r="S397" s="420">
        <v>0</v>
      </c>
      <c r="T397" s="420">
        <v>0</v>
      </c>
      <c r="U397" s="420">
        <v>1.168772049618755E-2</v>
      </c>
      <c r="V397" s="421"/>
    </row>
    <row r="398" spans="1:22">
      <c r="A398" s="416"/>
      <c r="B398" s="422" t="s">
        <v>619</v>
      </c>
      <c r="C398" s="423">
        <v>-4.7193176681620264E-2</v>
      </c>
      <c r="D398" s="424">
        <v>0</v>
      </c>
      <c r="E398" s="424">
        <v>0.26216688010081007</v>
      </c>
      <c r="F398" s="424">
        <v>0</v>
      </c>
      <c r="G398" s="424">
        <v>-0.13597749881728363</v>
      </c>
      <c r="H398" s="424">
        <v>0</v>
      </c>
      <c r="I398" s="424">
        <v>0</v>
      </c>
      <c r="J398" s="426">
        <v>-4.3453049545528512E-2</v>
      </c>
      <c r="K398" s="426">
        <v>0</v>
      </c>
      <c r="L398" s="424">
        <v>0</v>
      </c>
      <c r="M398" s="424">
        <v>0</v>
      </c>
      <c r="N398" s="424">
        <v>0</v>
      </c>
      <c r="O398" s="426">
        <v>0</v>
      </c>
      <c r="P398" s="426">
        <v>0</v>
      </c>
      <c r="Q398" s="424">
        <v>0</v>
      </c>
      <c r="R398" s="426">
        <v>0</v>
      </c>
      <c r="S398" s="426">
        <v>0</v>
      </c>
      <c r="T398" s="426">
        <v>0</v>
      </c>
      <c r="U398" s="426">
        <v>-4.3453049545528512E-2</v>
      </c>
      <c r="V398" s="421"/>
    </row>
    <row r="399" spans="1:22">
      <c r="A399" s="416"/>
      <c r="B399" s="394" t="s">
        <v>620</v>
      </c>
      <c r="C399" s="413">
        <v>0</v>
      </c>
      <c r="D399" s="414">
        <v>0</v>
      </c>
      <c r="E399" s="414">
        <v>0</v>
      </c>
      <c r="F399" s="414">
        <v>0</v>
      </c>
      <c r="G399" s="414">
        <v>0</v>
      </c>
      <c r="H399" s="414">
        <v>0</v>
      </c>
      <c r="I399" s="414">
        <v>0</v>
      </c>
      <c r="J399" s="415">
        <v>0</v>
      </c>
      <c r="K399" s="415">
        <v>0</v>
      </c>
      <c r="L399" s="414">
        <v>0</v>
      </c>
      <c r="M399" s="414">
        <v>0</v>
      </c>
      <c r="N399" s="414">
        <v>0</v>
      </c>
      <c r="O399" s="415">
        <v>0</v>
      </c>
      <c r="P399" s="415">
        <v>0</v>
      </c>
      <c r="Q399" s="414">
        <v>0</v>
      </c>
      <c r="R399" s="415">
        <v>0</v>
      </c>
      <c r="S399" s="415">
        <v>0</v>
      </c>
      <c r="T399" s="415">
        <v>0</v>
      </c>
      <c r="U399" s="415">
        <v>0</v>
      </c>
      <c r="V399" s="421"/>
    </row>
    <row r="400" spans="1:22">
      <c r="A400" s="416"/>
      <c r="B400" s="417" t="s">
        <v>621</v>
      </c>
      <c r="C400" s="418">
        <v>0</v>
      </c>
      <c r="D400" s="419">
        <v>0</v>
      </c>
      <c r="E400" s="419">
        <v>0</v>
      </c>
      <c r="F400" s="419">
        <v>0</v>
      </c>
      <c r="G400" s="419">
        <v>0</v>
      </c>
      <c r="H400" s="419">
        <v>0</v>
      </c>
      <c r="I400" s="419">
        <v>0</v>
      </c>
      <c r="J400" s="420">
        <v>0</v>
      </c>
      <c r="K400" s="420">
        <v>0</v>
      </c>
      <c r="L400" s="419">
        <v>0</v>
      </c>
      <c r="M400" s="419">
        <v>0</v>
      </c>
      <c r="N400" s="419">
        <v>0</v>
      </c>
      <c r="O400" s="420">
        <v>0</v>
      </c>
      <c r="P400" s="420">
        <v>0</v>
      </c>
      <c r="Q400" s="419">
        <v>0</v>
      </c>
      <c r="R400" s="420">
        <v>0</v>
      </c>
      <c r="S400" s="420">
        <v>0</v>
      </c>
      <c r="T400" s="420">
        <v>0</v>
      </c>
      <c r="U400" s="420">
        <v>0</v>
      </c>
      <c r="V400" s="421"/>
    </row>
    <row r="401" spans="1:22" ht="15" thickBot="1">
      <c r="A401" s="432"/>
      <c r="B401" s="433" t="s">
        <v>622</v>
      </c>
      <c r="C401" s="434">
        <v>0</v>
      </c>
      <c r="D401" s="435">
        <v>0</v>
      </c>
      <c r="E401" s="435">
        <v>0</v>
      </c>
      <c r="F401" s="435">
        <v>0</v>
      </c>
      <c r="G401" s="435">
        <v>0</v>
      </c>
      <c r="H401" s="435">
        <v>0</v>
      </c>
      <c r="I401" s="435">
        <v>0</v>
      </c>
      <c r="J401" s="436">
        <v>0</v>
      </c>
      <c r="K401" s="436">
        <v>0</v>
      </c>
      <c r="L401" s="435">
        <v>0</v>
      </c>
      <c r="M401" s="435">
        <v>0</v>
      </c>
      <c r="N401" s="435">
        <v>0</v>
      </c>
      <c r="O401" s="436">
        <v>0</v>
      </c>
      <c r="P401" s="436">
        <v>0</v>
      </c>
      <c r="Q401" s="435">
        <v>0</v>
      </c>
      <c r="R401" s="436">
        <v>0</v>
      </c>
      <c r="S401" s="436">
        <v>0</v>
      </c>
      <c r="T401" s="436">
        <v>0</v>
      </c>
      <c r="U401" s="436">
        <v>0</v>
      </c>
      <c r="V401" s="421"/>
    </row>
    <row r="402" spans="1:22">
      <c r="A402" s="412" t="s">
        <v>401</v>
      </c>
      <c r="B402" s="394" t="s">
        <v>587</v>
      </c>
      <c r="C402" s="413">
        <v>0.88042748057019116</v>
      </c>
      <c r="D402" s="414">
        <v>0</v>
      </c>
      <c r="E402" s="414">
        <v>0.90722742846095072</v>
      </c>
      <c r="F402" s="414">
        <v>0.81780675114442136</v>
      </c>
      <c r="G402" s="414">
        <v>0.91335193559767791</v>
      </c>
      <c r="H402" s="414">
        <v>0.7504414376396823</v>
      </c>
      <c r="I402" s="414">
        <v>0</v>
      </c>
      <c r="J402" s="415">
        <v>0.86261164455559058</v>
      </c>
      <c r="K402" s="415">
        <v>0</v>
      </c>
      <c r="L402" s="414">
        <v>0.56493687072898569</v>
      </c>
      <c r="M402" s="414">
        <v>0.58819017627560766</v>
      </c>
      <c r="N402" s="414">
        <v>0.61757075994286703</v>
      </c>
      <c r="O402" s="415">
        <v>0.58167573416969875</v>
      </c>
      <c r="P402" s="415">
        <v>0</v>
      </c>
      <c r="Q402" s="414">
        <v>0</v>
      </c>
      <c r="R402" s="415">
        <v>0</v>
      </c>
      <c r="S402" s="415">
        <v>0</v>
      </c>
      <c r="T402" s="415">
        <v>0</v>
      </c>
      <c r="U402" s="415">
        <v>0.7545406288843628</v>
      </c>
      <c r="V402" s="421"/>
    </row>
    <row r="403" spans="1:22">
      <c r="A403" s="416"/>
      <c r="B403" s="417" t="s">
        <v>588</v>
      </c>
      <c r="C403" s="418">
        <v>0.86552854842942051</v>
      </c>
      <c r="D403" s="419">
        <v>0</v>
      </c>
      <c r="E403" s="419">
        <v>0.88320956193482747</v>
      </c>
      <c r="F403" s="419">
        <v>0.80579543735647197</v>
      </c>
      <c r="G403" s="419">
        <v>0.88248821663951293</v>
      </c>
      <c r="H403" s="419">
        <v>0.73858395795463727</v>
      </c>
      <c r="I403" s="419">
        <v>0</v>
      </c>
      <c r="J403" s="420">
        <v>0.8458218801194769</v>
      </c>
      <c r="K403" s="420">
        <v>0</v>
      </c>
      <c r="L403" s="419">
        <v>0.55189656037202728</v>
      </c>
      <c r="M403" s="419">
        <v>0.55451406431408234</v>
      </c>
      <c r="N403" s="419">
        <v>0.57299097338322769</v>
      </c>
      <c r="O403" s="420">
        <v>0.55638509739998687</v>
      </c>
      <c r="P403" s="420">
        <v>0</v>
      </c>
      <c r="Q403" s="419">
        <v>0</v>
      </c>
      <c r="R403" s="420">
        <v>0</v>
      </c>
      <c r="S403" s="420">
        <v>0</v>
      </c>
      <c r="T403" s="420">
        <v>0</v>
      </c>
      <c r="U403" s="420">
        <v>0.73514663068752051</v>
      </c>
      <c r="V403" s="421"/>
    </row>
    <row r="404" spans="1:22">
      <c r="A404" s="416"/>
      <c r="B404" s="422" t="s">
        <v>589</v>
      </c>
      <c r="C404" s="423">
        <v>-1.4898932140770649</v>
      </c>
      <c r="D404" s="424">
        <v>0</v>
      </c>
      <c r="E404" s="424">
        <v>-2.4017866526123255</v>
      </c>
      <c r="F404" s="424">
        <v>-1.2011313787949396</v>
      </c>
      <c r="G404" s="424">
        <v>-3.0863718958164976</v>
      </c>
      <c r="H404" s="424">
        <v>-1.1857479685045025</v>
      </c>
      <c r="I404" s="424">
        <v>0</v>
      </c>
      <c r="J404" s="426">
        <v>-1.6789764436113686</v>
      </c>
      <c r="K404" s="426">
        <v>0</v>
      </c>
      <c r="L404" s="424">
        <v>-1.3040310356958407</v>
      </c>
      <c r="M404" s="424">
        <v>-3.3676111961525312</v>
      </c>
      <c r="N404" s="424">
        <v>-4.4579786559639345</v>
      </c>
      <c r="O404" s="426">
        <v>-2.5290636769711883</v>
      </c>
      <c r="P404" s="426">
        <v>0</v>
      </c>
      <c r="Q404" s="424">
        <v>0</v>
      </c>
      <c r="R404" s="426">
        <v>0</v>
      </c>
      <c r="S404" s="426">
        <v>0</v>
      </c>
      <c r="T404" s="426">
        <v>0</v>
      </c>
      <c r="U404" s="426">
        <v>-1.9393998196842288</v>
      </c>
      <c r="V404" s="421"/>
    </row>
    <row r="405" spans="1:22">
      <c r="A405" s="416"/>
      <c r="B405" s="394" t="s">
        <v>590</v>
      </c>
      <c r="C405" s="413">
        <v>1.5939557526321119E-2</v>
      </c>
      <c r="D405" s="414">
        <v>0</v>
      </c>
      <c r="E405" s="414">
        <v>1.3999215501103317E-2</v>
      </c>
      <c r="F405" s="414">
        <v>8.662336639629677E-3</v>
      </c>
      <c r="G405" s="414">
        <v>4.939221912184483E-3</v>
      </c>
      <c r="H405" s="414">
        <v>3.8239655060309623E-2</v>
      </c>
      <c r="I405" s="414">
        <v>0</v>
      </c>
      <c r="J405" s="415">
        <v>1.7323304143141528E-2</v>
      </c>
      <c r="K405" s="415">
        <v>0</v>
      </c>
      <c r="L405" s="414">
        <v>6.9224029498724152E-2</v>
      </c>
      <c r="M405" s="414">
        <v>7.1998634936832034E-2</v>
      </c>
      <c r="N405" s="414">
        <v>0.13247952111975075</v>
      </c>
      <c r="O405" s="415">
        <v>8.0801081222359017E-2</v>
      </c>
      <c r="P405" s="415">
        <v>0</v>
      </c>
      <c r="Q405" s="414">
        <v>0</v>
      </c>
      <c r="R405" s="415">
        <v>0</v>
      </c>
      <c r="S405" s="415">
        <v>0</v>
      </c>
      <c r="T405" s="415">
        <v>0</v>
      </c>
      <c r="U405" s="415">
        <v>4.1742068665198591E-2</v>
      </c>
      <c r="V405" s="421"/>
    </row>
    <row r="406" spans="1:22">
      <c r="A406" s="416"/>
      <c r="B406" s="417" t="s">
        <v>591</v>
      </c>
      <c r="C406" s="418">
        <v>2.0268685368333938E-2</v>
      </c>
      <c r="D406" s="419">
        <v>0</v>
      </c>
      <c r="E406" s="419">
        <v>1.8380290395276083E-2</v>
      </c>
      <c r="F406" s="419">
        <v>8.2747761994472029E-3</v>
      </c>
      <c r="G406" s="419">
        <v>8.8702053623509053E-3</v>
      </c>
      <c r="H406" s="419">
        <v>4.4546841145856719E-2</v>
      </c>
      <c r="I406" s="419">
        <v>0</v>
      </c>
      <c r="J406" s="420">
        <v>2.144367525642038E-2</v>
      </c>
      <c r="K406" s="420">
        <v>0</v>
      </c>
      <c r="L406" s="419">
        <v>7.1948915517616119E-2</v>
      </c>
      <c r="M406" s="419">
        <v>7.734787220160802E-2</v>
      </c>
      <c r="N406" s="419">
        <v>0.1243126185360605</v>
      </c>
      <c r="O406" s="420">
        <v>8.2711176950009804E-2</v>
      </c>
      <c r="P406" s="420">
        <v>0</v>
      </c>
      <c r="Q406" s="419">
        <v>0</v>
      </c>
      <c r="R406" s="420">
        <v>0</v>
      </c>
      <c r="S406" s="420">
        <v>0</v>
      </c>
      <c r="T406" s="420">
        <v>0</v>
      </c>
      <c r="U406" s="420">
        <v>4.4871229861953986E-2</v>
      </c>
      <c r="V406" s="421"/>
    </row>
    <row r="407" spans="1:22">
      <c r="A407" s="416"/>
      <c r="B407" s="422" t="s">
        <v>592</v>
      </c>
      <c r="C407" s="423">
        <v>0.43291278420128193</v>
      </c>
      <c r="D407" s="424">
        <v>0</v>
      </c>
      <c r="E407" s="424">
        <v>0.43810748941727656</v>
      </c>
      <c r="F407" s="424">
        <v>-3.8756044018247414E-2</v>
      </c>
      <c r="G407" s="424">
        <v>0.3930983450166422</v>
      </c>
      <c r="H407" s="424">
        <v>0.63071860855470963</v>
      </c>
      <c r="I407" s="424">
        <v>0</v>
      </c>
      <c r="J407" s="426">
        <v>0.41203711132788529</v>
      </c>
      <c r="K407" s="426">
        <v>0</v>
      </c>
      <c r="L407" s="424">
        <v>0.27248860188919671</v>
      </c>
      <c r="M407" s="424">
        <v>0.53492372647759856</v>
      </c>
      <c r="N407" s="424">
        <v>-0.8166902583690252</v>
      </c>
      <c r="O407" s="426">
        <v>0.19100957276507874</v>
      </c>
      <c r="P407" s="426">
        <v>0</v>
      </c>
      <c r="Q407" s="424">
        <v>0</v>
      </c>
      <c r="R407" s="426">
        <v>0</v>
      </c>
      <c r="S407" s="426">
        <v>0</v>
      </c>
      <c r="T407" s="426">
        <v>0</v>
      </c>
      <c r="U407" s="426">
        <v>0.31291611967553951</v>
      </c>
      <c r="V407" s="421"/>
    </row>
    <row r="408" spans="1:22">
      <c r="A408" s="416"/>
      <c r="B408" s="394" t="s">
        <v>593</v>
      </c>
      <c r="C408" s="413">
        <v>0.10359261217754728</v>
      </c>
      <c r="D408" s="414">
        <v>0</v>
      </c>
      <c r="E408" s="414">
        <v>7.8773356037945955E-2</v>
      </c>
      <c r="F408" s="414">
        <v>0.17353091221594896</v>
      </c>
      <c r="G408" s="414">
        <v>8.1708842490137587E-2</v>
      </c>
      <c r="H408" s="414">
        <v>0.21131890730000802</v>
      </c>
      <c r="I408" s="414">
        <v>0</v>
      </c>
      <c r="J408" s="415">
        <v>0.120044626468326</v>
      </c>
      <c r="K408" s="415">
        <v>0</v>
      </c>
      <c r="L408" s="414">
        <v>0.36583909977229012</v>
      </c>
      <c r="M408" s="414">
        <v>0.32229850958078371</v>
      </c>
      <c r="N408" s="414">
        <v>0.23587443028999389</v>
      </c>
      <c r="O408" s="415">
        <v>0.32921512794235314</v>
      </c>
      <c r="P408" s="415">
        <v>0</v>
      </c>
      <c r="Q408" s="414">
        <v>0</v>
      </c>
      <c r="R408" s="415">
        <v>0</v>
      </c>
      <c r="S408" s="415">
        <v>0</v>
      </c>
      <c r="T408" s="415">
        <v>0</v>
      </c>
      <c r="U408" s="415">
        <v>0.20050877400897935</v>
      </c>
      <c r="V408" s="421"/>
    </row>
    <row r="409" spans="1:22">
      <c r="A409" s="416"/>
      <c r="B409" s="417" t="s">
        <v>594</v>
      </c>
      <c r="C409" s="418">
        <v>0.11419858996212846</v>
      </c>
      <c r="D409" s="419">
        <v>0</v>
      </c>
      <c r="E409" s="419">
        <v>9.8410147669896447E-2</v>
      </c>
      <c r="F409" s="419">
        <v>0.18592978644408081</v>
      </c>
      <c r="G409" s="419">
        <v>0.10864157799813612</v>
      </c>
      <c r="H409" s="419">
        <v>0.21686920089950598</v>
      </c>
      <c r="I409" s="419">
        <v>0</v>
      </c>
      <c r="J409" s="420">
        <v>0.13273229588747926</v>
      </c>
      <c r="K409" s="420">
        <v>0</v>
      </c>
      <c r="L409" s="419">
        <v>0.3761545241103566</v>
      </c>
      <c r="M409" s="419">
        <v>0.35240249333337792</v>
      </c>
      <c r="N409" s="419">
        <v>0.27725095084222318</v>
      </c>
      <c r="O409" s="420">
        <v>0.35114030028939164</v>
      </c>
      <c r="P409" s="420">
        <v>0</v>
      </c>
      <c r="Q409" s="419">
        <v>0</v>
      </c>
      <c r="R409" s="420">
        <v>0</v>
      </c>
      <c r="S409" s="420">
        <v>0</v>
      </c>
      <c r="T409" s="420">
        <v>0</v>
      </c>
      <c r="U409" s="420">
        <v>0.21624745984832358</v>
      </c>
      <c r="V409" s="421"/>
    </row>
    <row r="410" spans="1:22">
      <c r="A410" s="416"/>
      <c r="B410" s="422" t="s">
        <v>595</v>
      </c>
      <c r="C410" s="423">
        <v>1.060597778458118</v>
      </c>
      <c r="D410" s="424">
        <v>0</v>
      </c>
      <c r="E410" s="424">
        <v>1.9636791631950492</v>
      </c>
      <c r="F410" s="424">
        <v>1.2398874228131851</v>
      </c>
      <c r="G410" s="424">
        <v>2.6932735507998533</v>
      </c>
      <c r="H410" s="424">
        <v>0.5550293599497963</v>
      </c>
      <c r="I410" s="424">
        <v>0</v>
      </c>
      <c r="J410" s="426">
        <v>1.2687669419153251</v>
      </c>
      <c r="K410" s="426">
        <v>0</v>
      </c>
      <c r="L410" s="424">
        <v>1.0315424338066481</v>
      </c>
      <c r="M410" s="424">
        <v>3.0103983752594212</v>
      </c>
      <c r="N410" s="424">
        <v>4.1376520552229294</v>
      </c>
      <c r="O410" s="426">
        <v>2.1925172347038502</v>
      </c>
      <c r="P410" s="426">
        <v>0</v>
      </c>
      <c r="Q410" s="424">
        <v>0</v>
      </c>
      <c r="R410" s="426">
        <v>0</v>
      </c>
      <c r="S410" s="426">
        <v>0</v>
      </c>
      <c r="T410" s="426">
        <v>0</v>
      </c>
      <c r="U410" s="426">
        <v>1.5738685839344235</v>
      </c>
      <c r="V410" s="421"/>
    </row>
    <row r="411" spans="1:22">
      <c r="A411" s="416"/>
      <c r="B411" s="394" t="s">
        <v>596</v>
      </c>
      <c r="C411" s="413">
        <v>4.0349725940414074E-5</v>
      </c>
      <c r="D411" s="414">
        <v>0</v>
      </c>
      <c r="E411" s="414">
        <v>0</v>
      </c>
      <c r="F411" s="414">
        <v>0</v>
      </c>
      <c r="G411" s="414">
        <v>0</v>
      </c>
      <c r="H411" s="414">
        <v>0</v>
      </c>
      <c r="I411" s="414">
        <v>0</v>
      </c>
      <c r="J411" s="415">
        <v>2.0424832941887229E-5</v>
      </c>
      <c r="K411" s="415">
        <v>0</v>
      </c>
      <c r="L411" s="414">
        <v>0</v>
      </c>
      <c r="M411" s="414">
        <v>1.7512679206776662E-2</v>
      </c>
      <c r="N411" s="414">
        <v>1.4075288647388282E-2</v>
      </c>
      <c r="O411" s="415">
        <v>8.3080566655891128E-3</v>
      </c>
      <c r="P411" s="415">
        <v>0</v>
      </c>
      <c r="Q411" s="414">
        <v>0</v>
      </c>
      <c r="R411" s="415">
        <v>0</v>
      </c>
      <c r="S411" s="415">
        <v>0</v>
      </c>
      <c r="T411" s="415">
        <v>0</v>
      </c>
      <c r="U411" s="415">
        <v>3.208528441459294E-3</v>
      </c>
      <c r="V411" s="421"/>
    </row>
    <row r="412" spans="1:22">
      <c r="A412" s="416"/>
      <c r="B412" s="417" t="s">
        <v>597</v>
      </c>
      <c r="C412" s="418">
        <v>4.1762401171017732E-6</v>
      </c>
      <c r="D412" s="419">
        <v>0</v>
      </c>
      <c r="E412" s="419">
        <v>0</v>
      </c>
      <c r="F412" s="419">
        <v>0</v>
      </c>
      <c r="G412" s="419">
        <v>0</v>
      </c>
      <c r="H412" s="419">
        <v>0</v>
      </c>
      <c r="I412" s="419">
        <v>0</v>
      </c>
      <c r="J412" s="420">
        <v>2.1487366234430387E-6</v>
      </c>
      <c r="K412" s="420">
        <v>0</v>
      </c>
      <c r="L412" s="419">
        <v>0</v>
      </c>
      <c r="M412" s="419">
        <v>1.5735570150931653E-2</v>
      </c>
      <c r="N412" s="419">
        <v>8.5090589641352871E-3</v>
      </c>
      <c r="O412" s="420">
        <v>6.8862834835050225E-3</v>
      </c>
      <c r="P412" s="420">
        <v>0</v>
      </c>
      <c r="Q412" s="419">
        <v>0</v>
      </c>
      <c r="R412" s="420">
        <v>0</v>
      </c>
      <c r="S412" s="420">
        <v>0</v>
      </c>
      <c r="T412" s="420">
        <v>0</v>
      </c>
      <c r="U412" s="420">
        <v>2.6345139912245536E-3</v>
      </c>
      <c r="V412" s="421"/>
    </row>
    <row r="413" spans="1:22">
      <c r="A413" s="416"/>
      <c r="B413" s="422" t="s">
        <v>598</v>
      </c>
      <c r="C413" s="423">
        <v>-3.6173485823312299E-3</v>
      </c>
      <c r="D413" s="424">
        <v>0</v>
      </c>
      <c r="E413" s="424">
        <v>0</v>
      </c>
      <c r="F413" s="424">
        <v>0</v>
      </c>
      <c r="G413" s="424">
        <v>0</v>
      </c>
      <c r="H413" s="424">
        <v>0</v>
      </c>
      <c r="I413" s="424">
        <v>0</v>
      </c>
      <c r="J413" s="426">
        <v>-1.827609631844419E-3</v>
      </c>
      <c r="K413" s="426">
        <v>0</v>
      </c>
      <c r="L413" s="424">
        <v>0</v>
      </c>
      <c r="M413" s="424">
        <v>-0.17771090558450081</v>
      </c>
      <c r="N413" s="424">
        <v>-0.55662296832529945</v>
      </c>
      <c r="O413" s="426">
        <v>-0.14217731820840904</v>
      </c>
      <c r="P413" s="426">
        <v>0</v>
      </c>
      <c r="Q413" s="424">
        <v>0</v>
      </c>
      <c r="R413" s="426">
        <v>0</v>
      </c>
      <c r="S413" s="426">
        <v>0</v>
      </c>
      <c r="T413" s="426">
        <v>0</v>
      </c>
      <c r="U413" s="426">
        <v>-5.7401445023474038E-2</v>
      </c>
      <c r="V413" s="421"/>
    </row>
    <row r="414" spans="1:22">
      <c r="A414" s="416"/>
      <c r="B414" s="394" t="s">
        <v>599</v>
      </c>
      <c r="C414" s="413">
        <v>0</v>
      </c>
      <c r="D414" s="414">
        <v>0</v>
      </c>
      <c r="E414" s="414">
        <v>0</v>
      </c>
      <c r="F414" s="414">
        <v>0</v>
      </c>
      <c r="G414" s="414">
        <v>0</v>
      </c>
      <c r="H414" s="414">
        <v>0</v>
      </c>
      <c r="I414" s="414">
        <v>0</v>
      </c>
      <c r="J414" s="415">
        <v>0</v>
      </c>
      <c r="K414" s="415">
        <v>0</v>
      </c>
      <c r="L414" s="414">
        <v>0</v>
      </c>
      <c r="M414" s="414">
        <v>0</v>
      </c>
      <c r="N414" s="414">
        <v>0</v>
      </c>
      <c r="O414" s="415">
        <v>0</v>
      </c>
      <c r="P414" s="415">
        <v>0</v>
      </c>
      <c r="Q414" s="414">
        <v>0</v>
      </c>
      <c r="R414" s="415">
        <v>0</v>
      </c>
      <c r="S414" s="415">
        <v>0</v>
      </c>
      <c r="T414" s="415">
        <v>0</v>
      </c>
      <c r="U414" s="415">
        <v>0</v>
      </c>
      <c r="V414" s="421"/>
    </row>
    <row r="415" spans="1:22">
      <c r="A415" s="416"/>
      <c r="B415" s="417" t="s">
        <v>600</v>
      </c>
      <c r="C415" s="418">
        <v>0</v>
      </c>
      <c r="D415" s="419">
        <v>0</v>
      </c>
      <c r="E415" s="419">
        <v>0</v>
      </c>
      <c r="F415" s="419">
        <v>0</v>
      </c>
      <c r="G415" s="419">
        <v>0</v>
      </c>
      <c r="H415" s="419">
        <v>0</v>
      </c>
      <c r="I415" s="419">
        <v>0</v>
      </c>
      <c r="J415" s="420">
        <v>0</v>
      </c>
      <c r="K415" s="420">
        <v>0</v>
      </c>
      <c r="L415" s="419">
        <v>0</v>
      </c>
      <c r="M415" s="419">
        <v>0</v>
      </c>
      <c r="N415" s="419">
        <v>1.6936398274353309E-2</v>
      </c>
      <c r="O415" s="420">
        <v>2.8771418771065924E-3</v>
      </c>
      <c r="P415" s="420">
        <v>0</v>
      </c>
      <c r="Q415" s="419">
        <v>0</v>
      </c>
      <c r="R415" s="420">
        <v>0</v>
      </c>
      <c r="S415" s="420">
        <v>0</v>
      </c>
      <c r="T415" s="420">
        <v>0</v>
      </c>
      <c r="U415" s="420">
        <v>1.100165610977326E-3</v>
      </c>
      <c r="V415" s="421"/>
    </row>
    <row r="416" spans="1:22">
      <c r="A416" s="416"/>
      <c r="B416" s="422" t="s">
        <v>601</v>
      </c>
      <c r="C416" s="423">
        <v>0</v>
      </c>
      <c r="D416" s="424">
        <v>0</v>
      </c>
      <c r="E416" s="424">
        <v>0</v>
      </c>
      <c r="F416" s="424">
        <v>0</v>
      </c>
      <c r="G416" s="424">
        <v>0</v>
      </c>
      <c r="H416" s="424">
        <v>0</v>
      </c>
      <c r="I416" s="424">
        <v>0</v>
      </c>
      <c r="J416" s="426">
        <v>0</v>
      </c>
      <c r="K416" s="426">
        <v>0</v>
      </c>
      <c r="L416" s="424">
        <v>0</v>
      </c>
      <c r="M416" s="424">
        <v>0</v>
      </c>
      <c r="N416" s="424">
        <v>0</v>
      </c>
      <c r="O416" s="426">
        <v>0</v>
      </c>
      <c r="P416" s="426">
        <v>0</v>
      </c>
      <c r="Q416" s="424">
        <v>0</v>
      </c>
      <c r="R416" s="426">
        <v>0</v>
      </c>
      <c r="S416" s="426">
        <v>0</v>
      </c>
      <c r="T416" s="426">
        <v>0</v>
      </c>
      <c r="U416" s="426">
        <v>0</v>
      </c>
      <c r="V416" s="421"/>
    </row>
    <row r="417" spans="1:22">
      <c r="A417" s="416"/>
      <c r="B417" s="394" t="s">
        <v>602</v>
      </c>
      <c r="C417" s="413">
        <v>0</v>
      </c>
      <c r="D417" s="414">
        <v>0</v>
      </c>
      <c r="E417" s="414">
        <v>0</v>
      </c>
      <c r="F417" s="414">
        <v>0</v>
      </c>
      <c r="G417" s="414">
        <v>0</v>
      </c>
      <c r="H417" s="414">
        <v>0</v>
      </c>
      <c r="I417" s="414">
        <v>0</v>
      </c>
      <c r="J417" s="415">
        <v>0</v>
      </c>
      <c r="K417" s="415">
        <v>0</v>
      </c>
      <c r="L417" s="414">
        <v>0</v>
      </c>
      <c r="M417" s="414">
        <v>0</v>
      </c>
      <c r="N417" s="414">
        <v>0</v>
      </c>
      <c r="O417" s="415">
        <v>0</v>
      </c>
      <c r="P417" s="415">
        <v>0</v>
      </c>
      <c r="Q417" s="414">
        <v>0</v>
      </c>
      <c r="R417" s="415">
        <v>0</v>
      </c>
      <c r="S417" s="415">
        <v>0</v>
      </c>
      <c r="T417" s="415">
        <v>0</v>
      </c>
      <c r="U417" s="415">
        <v>0</v>
      </c>
      <c r="V417" s="421"/>
    </row>
    <row r="418" spans="1:22">
      <c r="A418" s="416"/>
      <c r="B418" s="417" t="s">
        <v>603</v>
      </c>
      <c r="C418" s="418">
        <v>0</v>
      </c>
      <c r="D418" s="419">
        <v>0</v>
      </c>
      <c r="E418" s="419">
        <v>0</v>
      </c>
      <c r="F418" s="419">
        <v>0</v>
      </c>
      <c r="G418" s="419">
        <v>0</v>
      </c>
      <c r="H418" s="419">
        <v>0</v>
      </c>
      <c r="I418" s="419">
        <v>0</v>
      </c>
      <c r="J418" s="420">
        <v>0</v>
      </c>
      <c r="K418" s="420">
        <v>0</v>
      </c>
      <c r="L418" s="419">
        <v>0</v>
      </c>
      <c r="M418" s="419">
        <v>0</v>
      </c>
      <c r="N418" s="419">
        <v>0</v>
      </c>
      <c r="O418" s="420">
        <v>0</v>
      </c>
      <c r="P418" s="420">
        <v>0</v>
      </c>
      <c r="Q418" s="419">
        <v>0</v>
      </c>
      <c r="R418" s="420">
        <v>0</v>
      </c>
      <c r="S418" s="420">
        <v>0</v>
      </c>
      <c r="T418" s="420">
        <v>0</v>
      </c>
      <c r="U418" s="420">
        <v>0</v>
      </c>
      <c r="V418" s="421"/>
    </row>
    <row r="419" spans="1:22" ht="15" thickBot="1">
      <c r="A419" s="416"/>
      <c r="B419" s="428" t="s">
        <v>604</v>
      </c>
      <c r="C419" s="429">
        <v>0</v>
      </c>
      <c r="D419" s="430">
        <v>0</v>
      </c>
      <c r="E419" s="430">
        <v>0</v>
      </c>
      <c r="F419" s="430">
        <v>0</v>
      </c>
      <c r="G419" s="430">
        <v>0</v>
      </c>
      <c r="H419" s="430">
        <v>0</v>
      </c>
      <c r="I419" s="430">
        <v>0</v>
      </c>
      <c r="J419" s="431">
        <v>0</v>
      </c>
      <c r="K419" s="431">
        <v>0</v>
      </c>
      <c r="L419" s="430">
        <v>0</v>
      </c>
      <c r="M419" s="430">
        <v>0</v>
      </c>
      <c r="N419" s="430">
        <v>0</v>
      </c>
      <c r="O419" s="431">
        <v>0</v>
      </c>
      <c r="P419" s="431">
        <v>0</v>
      </c>
      <c r="Q419" s="430">
        <v>0</v>
      </c>
      <c r="R419" s="431">
        <v>0</v>
      </c>
      <c r="S419" s="431">
        <v>0</v>
      </c>
      <c r="T419" s="431">
        <v>0</v>
      </c>
      <c r="U419" s="431">
        <v>0</v>
      </c>
      <c r="V419" s="421"/>
    </row>
    <row r="420" spans="1:22" ht="15" thickTop="1">
      <c r="A420" s="416"/>
      <c r="B420" s="417" t="s">
        <v>605</v>
      </c>
      <c r="C420" s="418">
        <v>0.6469288588565788</v>
      </c>
      <c r="D420" s="419">
        <v>0</v>
      </c>
      <c r="E420" s="419">
        <v>0.56645856226829772</v>
      </c>
      <c r="F420" s="419">
        <v>0.36617142857142859</v>
      </c>
      <c r="G420" s="419">
        <v>0.73943488943488944</v>
      </c>
      <c r="H420" s="419">
        <v>0.25061779242174631</v>
      </c>
      <c r="I420" s="419">
        <v>0</v>
      </c>
      <c r="J420" s="420">
        <v>0.62500129023125373</v>
      </c>
      <c r="K420" s="420">
        <v>0</v>
      </c>
      <c r="L420" s="419">
        <v>0</v>
      </c>
      <c r="M420" s="419">
        <v>0</v>
      </c>
      <c r="N420" s="419">
        <v>0</v>
      </c>
      <c r="O420" s="420">
        <v>0</v>
      </c>
      <c r="P420" s="420">
        <v>0</v>
      </c>
      <c r="Q420" s="419">
        <v>0</v>
      </c>
      <c r="R420" s="420">
        <v>0</v>
      </c>
      <c r="S420" s="420">
        <v>0</v>
      </c>
      <c r="T420" s="420">
        <v>0</v>
      </c>
      <c r="U420" s="420">
        <v>0.62500129023125373</v>
      </c>
      <c r="V420" s="421"/>
    </row>
    <row r="421" spans="1:22">
      <c r="A421" s="416"/>
      <c r="B421" s="417" t="s">
        <v>606</v>
      </c>
      <c r="C421" s="418">
        <v>0.64954238956383781</v>
      </c>
      <c r="D421" s="419">
        <v>0</v>
      </c>
      <c r="E421" s="419">
        <v>0.51006663997927804</v>
      </c>
      <c r="F421" s="419">
        <v>0.42187742435996894</v>
      </c>
      <c r="G421" s="419">
        <v>0.69273787019533717</v>
      </c>
      <c r="H421" s="419">
        <v>0.34822581870678521</v>
      </c>
      <c r="I421" s="419">
        <v>0</v>
      </c>
      <c r="J421" s="420">
        <v>0.61481818850460257</v>
      </c>
      <c r="K421" s="420">
        <v>0</v>
      </c>
      <c r="L421" s="419">
        <v>0</v>
      </c>
      <c r="M421" s="419">
        <v>0</v>
      </c>
      <c r="N421" s="419">
        <v>0</v>
      </c>
      <c r="O421" s="420">
        <v>0</v>
      </c>
      <c r="P421" s="420">
        <v>0</v>
      </c>
      <c r="Q421" s="419">
        <v>0</v>
      </c>
      <c r="R421" s="420">
        <v>0</v>
      </c>
      <c r="S421" s="420">
        <v>0</v>
      </c>
      <c r="T421" s="420">
        <v>0</v>
      </c>
      <c r="U421" s="420">
        <v>0.61481297082610797</v>
      </c>
      <c r="V421" s="421"/>
    </row>
    <row r="422" spans="1:22">
      <c r="A422" s="416"/>
      <c r="B422" s="422" t="s">
        <v>607</v>
      </c>
      <c r="C422" s="423">
        <v>0.26135307072590042</v>
      </c>
      <c r="D422" s="424">
        <v>0</v>
      </c>
      <c r="E422" s="424">
        <v>-5.639192228901968</v>
      </c>
      <c r="F422" s="424">
        <v>5.5705995788540354</v>
      </c>
      <c r="G422" s="424">
        <v>-4.6697019239552269</v>
      </c>
      <c r="H422" s="424">
        <v>9.7608026285038889</v>
      </c>
      <c r="I422" s="424">
        <v>0</v>
      </c>
      <c r="J422" s="426">
        <v>-1.0183101726651156</v>
      </c>
      <c r="K422" s="426">
        <v>0</v>
      </c>
      <c r="L422" s="424">
        <v>0</v>
      </c>
      <c r="M422" s="424">
        <v>0</v>
      </c>
      <c r="N422" s="424">
        <v>0</v>
      </c>
      <c r="O422" s="426">
        <v>0</v>
      </c>
      <c r="P422" s="426">
        <v>0</v>
      </c>
      <c r="Q422" s="424">
        <v>0</v>
      </c>
      <c r="R422" s="426">
        <v>0</v>
      </c>
      <c r="S422" s="426">
        <v>0</v>
      </c>
      <c r="T422" s="426">
        <v>0</v>
      </c>
      <c r="U422" s="426">
        <v>-1.0188319405145752</v>
      </c>
      <c r="V422" s="421"/>
    </row>
    <row r="423" spans="1:22">
      <c r="A423" s="416"/>
      <c r="B423" s="394" t="s">
        <v>608</v>
      </c>
      <c r="C423" s="413">
        <v>0.11366638827727583</v>
      </c>
      <c r="D423" s="414">
        <v>0</v>
      </c>
      <c r="E423" s="414">
        <v>9.5470408520607161E-2</v>
      </c>
      <c r="F423" s="414">
        <v>9.5542857142857138E-2</v>
      </c>
      <c r="G423" s="414">
        <v>5.5773955773955775E-2</v>
      </c>
      <c r="H423" s="414">
        <v>3.7067545304777594E-3</v>
      </c>
      <c r="I423" s="414">
        <v>0</v>
      </c>
      <c r="J423" s="415">
        <v>0.10638878280320803</v>
      </c>
      <c r="K423" s="415">
        <v>0</v>
      </c>
      <c r="L423" s="414">
        <v>0</v>
      </c>
      <c r="M423" s="414">
        <v>0</v>
      </c>
      <c r="N423" s="414">
        <v>0</v>
      </c>
      <c r="O423" s="415">
        <v>0</v>
      </c>
      <c r="P423" s="415">
        <v>0</v>
      </c>
      <c r="Q423" s="414">
        <v>0</v>
      </c>
      <c r="R423" s="415">
        <v>0</v>
      </c>
      <c r="S423" s="415">
        <v>0</v>
      </c>
      <c r="T423" s="415">
        <v>0</v>
      </c>
      <c r="U423" s="415">
        <v>0.10638878280320803</v>
      </c>
      <c r="V423" s="421"/>
    </row>
    <row r="424" spans="1:22">
      <c r="A424" s="416"/>
      <c r="B424" s="417" t="s">
        <v>609</v>
      </c>
      <c r="C424" s="418">
        <v>0.10926826401845133</v>
      </c>
      <c r="D424" s="419">
        <v>0</v>
      </c>
      <c r="E424" s="419">
        <v>8.0250547483928694E-2</v>
      </c>
      <c r="F424" s="419">
        <v>0.10923196276183088</v>
      </c>
      <c r="G424" s="419">
        <v>0</v>
      </c>
      <c r="H424" s="419">
        <v>7.8565458551781778E-2</v>
      </c>
      <c r="I424" s="419">
        <v>0</v>
      </c>
      <c r="J424" s="420">
        <v>0.10071344109443335</v>
      </c>
      <c r="K424" s="420">
        <v>0</v>
      </c>
      <c r="L424" s="419">
        <v>0</v>
      </c>
      <c r="M424" s="419">
        <v>0</v>
      </c>
      <c r="N424" s="419">
        <v>0</v>
      </c>
      <c r="O424" s="420">
        <v>0</v>
      </c>
      <c r="P424" s="420">
        <v>0</v>
      </c>
      <c r="Q424" s="419">
        <v>0</v>
      </c>
      <c r="R424" s="420">
        <v>0</v>
      </c>
      <c r="S424" s="420">
        <v>0</v>
      </c>
      <c r="T424" s="420">
        <v>0</v>
      </c>
      <c r="U424" s="420">
        <v>0.10071258638589424</v>
      </c>
      <c r="V424" s="421"/>
    </row>
    <row r="425" spans="1:22">
      <c r="A425" s="416"/>
      <c r="B425" s="422" t="s">
        <v>610</v>
      </c>
      <c r="C425" s="423">
        <v>-0.43981242588245067</v>
      </c>
      <c r="D425" s="424">
        <v>0</v>
      </c>
      <c r="E425" s="424">
        <v>-1.5219861036678468</v>
      </c>
      <c r="F425" s="424">
        <v>1.368910561897374</v>
      </c>
      <c r="G425" s="424">
        <v>-5.5773955773955777</v>
      </c>
      <c r="H425" s="424">
        <v>7.4858704021304012</v>
      </c>
      <c r="I425" s="424">
        <v>0</v>
      </c>
      <c r="J425" s="426">
        <v>-0.56753417087746783</v>
      </c>
      <c r="K425" s="426">
        <v>0</v>
      </c>
      <c r="L425" s="424">
        <v>0</v>
      </c>
      <c r="M425" s="424">
        <v>0</v>
      </c>
      <c r="N425" s="424">
        <v>0</v>
      </c>
      <c r="O425" s="426">
        <v>0</v>
      </c>
      <c r="P425" s="426">
        <v>0</v>
      </c>
      <c r="Q425" s="424">
        <v>0</v>
      </c>
      <c r="R425" s="426">
        <v>0</v>
      </c>
      <c r="S425" s="426">
        <v>0</v>
      </c>
      <c r="T425" s="426">
        <v>0</v>
      </c>
      <c r="U425" s="426">
        <v>-0.56761964173137891</v>
      </c>
      <c r="V425" s="421"/>
    </row>
    <row r="426" spans="1:22">
      <c r="A426" s="416"/>
      <c r="B426" s="394" t="s">
        <v>611</v>
      </c>
      <c r="C426" s="413">
        <v>0.19391466099764634</v>
      </c>
      <c r="D426" s="414">
        <v>0</v>
      </c>
      <c r="E426" s="414">
        <v>0.33807102921109516</v>
      </c>
      <c r="F426" s="414">
        <v>0.53828571428571426</v>
      </c>
      <c r="G426" s="414">
        <v>0.20128992628992629</v>
      </c>
      <c r="H426" s="414">
        <v>0.74567545304777594</v>
      </c>
      <c r="I426" s="414">
        <v>0</v>
      </c>
      <c r="J426" s="415">
        <v>0.23310276286434287</v>
      </c>
      <c r="K426" s="415">
        <v>0</v>
      </c>
      <c r="L426" s="414">
        <v>0</v>
      </c>
      <c r="M426" s="414">
        <v>0</v>
      </c>
      <c r="N426" s="414">
        <v>0</v>
      </c>
      <c r="O426" s="415">
        <v>0</v>
      </c>
      <c r="P426" s="415">
        <v>0</v>
      </c>
      <c r="Q426" s="414">
        <v>0</v>
      </c>
      <c r="R426" s="415">
        <v>0</v>
      </c>
      <c r="S426" s="415">
        <v>0</v>
      </c>
      <c r="T426" s="415">
        <v>0</v>
      </c>
      <c r="U426" s="415">
        <v>0.23310276286434287</v>
      </c>
      <c r="V426" s="421"/>
    </row>
    <row r="427" spans="1:22">
      <c r="A427" s="416"/>
      <c r="B427" s="417" t="s">
        <v>612</v>
      </c>
      <c r="C427" s="418">
        <v>0.2035338102863187</v>
      </c>
      <c r="D427" s="419">
        <v>0</v>
      </c>
      <c r="E427" s="419">
        <v>0.40968281253679328</v>
      </c>
      <c r="F427" s="419">
        <v>0.46889061287820016</v>
      </c>
      <c r="G427" s="419">
        <v>0.3053717706364209</v>
      </c>
      <c r="H427" s="419">
        <v>0.57320872274143297</v>
      </c>
      <c r="I427" s="419">
        <v>0</v>
      </c>
      <c r="J427" s="420">
        <v>0.25539607013335297</v>
      </c>
      <c r="K427" s="420">
        <v>0</v>
      </c>
      <c r="L427" s="419">
        <v>0</v>
      </c>
      <c r="M427" s="419">
        <v>0</v>
      </c>
      <c r="N427" s="419">
        <v>1</v>
      </c>
      <c r="O427" s="420">
        <v>1</v>
      </c>
      <c r="P427" s="420">
        <v>0</v>
      </c>
      <c r="Q427" s="419">
        <v>0</v>
      </c>
      <c r="R427" s="420">
        <v>0</v>
      </c>
      <c r="S427" s="420">
        <v>0</v>
      </c>
      <c r="T427" s="420">
        <v>0</v>
      </c>
      <c r="U427" s="420">
        <v>0.25540238924359476</v>
      </c>
      <c r="V427" s="421"/>
    </row>
    <row r="428" spans="1:22">
      <c r="A428" s="416"/>
      <c r="B428" s="422" t="s">
        <v>613</v>
      </c>
      <c r="C428" s="423">
        <v>0.96191492886723573</v>
      </c>
      <c r="D428" s="424">
        <v>0</v>
      </c>
      <c r="E428" s="424">
        <v>7.1611783325698122</v>
      </c>
      <c r="F428" s="424">
        <v>-6.939510140751409</v>
      </c>
      <c r="G428" s="424">
        <v>10.408184434649462</v>
      </c>
      <c r="H428" s="424">
        <v>-17.246673030634298</v>
      </c>
      <c r="I428" s="424">
        <v>0</v>
      </c>
      <c r="J428" s="426">
        <v>2.2293307269010105</v>
      </c>
      <c r="K428" s="426">
        <v>0</v>
      </c>
      <c r="L428" s="424">
        <v>0</v>
      </c>
      <c r="M428" s="424">
        <v>0</v>
      </c>
      <c r="N428" s="424">
        <v>0</v>
      </c>
      <c r="O428" s="426">
        <v>0</v>
      </c>
      <c r="P428" s="426">
        <v>0</v>
      </c>
      <c r="Q428" s="424">
        <v>0</v>
      </c>
      <c r="R428" s="426">
        <v>0</v>
      </c>
      <c r="S428" s="426">
        <v>0</v>
      </c>
      <c r="T428" s="426">
        <v>0</v>
      </c>
      <c r="U428" s="426">
        <v>2.2299626379251896</v>
      </c>
      <c r="V428" s="421"/>
    </row>
    <row r="429" spans="1:22">
      <c r="A429" s="416"/>
      <c r="B429" s="394" t="s">
        <v>614</v>
      </c>
      <c r="C429" s="413">
        <v>4.5490091868498977E-2</v>
      </c>
      <c r="D429" s="414">
        <v>0</v>
      </c>
      <c r="E429" s="414">
        <v>0</v>
      </c>
      <c r="F429" s="414">
        <v>0</v>
      </c>
      <c r="G429" s="414">
        <v>3.5012285012285013E-3</v>
      </c>
      <c r="H429" s="414">
        <v>0</v>
      </c>
      <c r="I429" s="414">
        <v>0</v>
      </c>
      <c r="J429" s="415">
        <v>3.5507164101195421E-2</v>
      </c>
      <c r="K429" s="415">
        <v>0</v>
      </c>
      <c r="L429" s="414">
        <v>0</v>
      </c>
      <c r="M429" s="414">
        <v>0</v>
      </c>
      <c r="N429" s="414">
        <v>0</v>
      </c>
      <c r="O429" s="415">
        <v>0</v>
      </c>
      <c r="P429" s="415">
        <v>0</v>
      </c>
      <c r="Q429" s="414">
        <v>0</v>
      </c>
      <c r="R429" s="415">
        <v>0</v>
      </c>
      <c r="S429" s="415">
        <v>0</v>
      </c>
      <c r="T429" s="415">
        <v>0</v>
      </c>
      <c r="U429" s="415">
        <v>3.5507164101195421E-2</v>
      </c>
      <c r="V429" s="421"/>
    </row>
    <row r="430" spans="1:22">
      <c r="A430" s="416"/>
      <c r="B430" s="417" t="s">
        <v>615</v>
      </c>
      <c r="C430" s="418">
        <v>3.765553613139222E-2</v>
      </c>
      <c r="D430" s="419">
        <v>0</v>
      </c>
      <c r="E430" s="419">
        <v>0</v>
      </c>
      <c r="F430" s="419">
        <v>0</v>
      </c>
      <c r="G430" s="419">
        <v>1.890359168241966E-3</v>
      </c>
      <c r="H430" s="419">
        <v>0</v>
      </c>
      <c r="I430" s="419">
        <v>0</v>
      </c>
      <c r="J430" s="420">
        <v>2.9072300267611133E-2</v>
      </c>
      <c r="K430" s="420">
        <v>0</v>
      </c>
      <c r="L430" s="419">
        <v>0</v>
      </c>
      <c r="M430" s="419">
        <v>0</v>
      </c>
      <c r="N430" s="419">
        <v>0</v>
      </c>
      <c r="O430" s="420">
        <v>0</v>
      </c>
      <c r="P430" s="420">
        <v>0</v>
      </c>
      <c r="Q430" s="419">
        <v>0</v>
      </c>
      <c r="R430" s="420">
        <v>0</v>
      </c>
      <c r="S430" s="420">
        <v>0</v>
      </c>
      <c r="T430" s="420">
        <v>0</v>
      </c>
      <c r="U430" s="420">
        <v>2.9072053544402985E-2</v>
      </c>
      <c r="V430" s="421"/>
    </row>
    <row r="431" spans="1:22">
      <c r="A431" s="416"/>
      <c r="B431" s="422" t="s">
        <v>616</v>
      </c>
      <c r="C431" s="423">
        <v>-0.78345557371067576</v>
      </c>
      <c r="D431" s="424">
        <v>0</v>
      </c>
      <c r="E431" s="424">
        <v>0</v>
      </c>
      <c r="F431" s="424">
        <v>0</v>
      </c>
      <c r="G431" s="424">
        <v>-0.16108693329865353</v>
      </c>
      <c r="H431" s="424">
        <v>0</v>
      </c>
      <c r="I431" s="424">
        <v>0</v>
      </c>
      <c r="J431" s="426">
        <v>-0.64348638335842878</v>
      </c>
      <c r="K431" s="426">
        <v>0</v>
      </c>
      <c r="L431" s="424">
        <v>0</v>
      </c>
      <c r="M431" s="424">
        <v>0</v>
      </c>
      <c r="N431" s="424">
        <v>0</v>
      </c>
      <c r="O431" s="426">
        <v>0</v>
      </c>
      <c r="P431" s="426">
        <v>0</v>
      </c>
      <c r="Q431" s="424">
        <v>0</v>
      </c>
      <c r="R431" s="426">
        <v>0</v>
      </c>
      <c r="S431" s="426">
        <v>0</v>
      </c>
      <c r="T431" s="426">
        <v>0</v>
      </c>
      <c r="U431" s="426">
        <v>-0.6435110556792436</v>
      </c>
      <c r="V431" s="421"/>
    </row>
    <row r="432" spans="1:22">
      <c r="A432" s="416"/>
      <c r="B432" s="394" t="s">
        <v>617</v>
      </c>
      <c r="C432" s="413">
        <v>0</v>
      </c>
      <c r="D432" s="414">
        <v>0</v>
      </c>
      <c r="E432" s="414">
        <v>0</v>
      </c>
      <c r="F432" s="414">
        <v>0</v>
      </c>
      <c r="G432" s="414">
        <v>0</v>
      </c>
      <c r="H432" s="414">
        <v>0</v>
      </c>
      <c r="I432" s="414">
        <v>0</v>
      </c>
      <c r="J432" s="415">
        <v>0</v>
      </c>
      <c r="K432" s="415">
        <v>0</v>
      </c>
      <c r="L432" s="414">
        <v>0</v>
      </c>
      <c r="M432" s="414">
        <v>0</v>
      </c>
      <c r="N432" s="414">
        <v>0</v>
      </c>
      <c r="O432" s="415">
        <v>0</v>
      </c>
      <c r="P432" s="415">
        <v>0</v>
      </c>
      <c r="Q432" s="414">
        <v>0</v>
      </c>
      <c r="R432" s="415">
        <v>0</v>
      </c>
      <c r="S432" s="415">
        <v>0</v>
      </c>
      <c r="T432" s="415">
        <v>0</v>
      </c>
      <c r="U432" s="415">
        <v>0</v>
      </c>
      <c r="V432" s="421"/>
    </row>
    <row r="433" spans="1:22">
      <c r="A433" s="416"/>
      <c r="B433" s="417" t="s">
        <v>618</v>
      </c>
      <c r="C433" s="418">
        <v>0</v>
      </c>
      <c r="D433" s="419">
        <v>0</v>
      </c>
      <c r="E433" s="419">
        <v>0</v>
      </c>
      <c r="F433" s="419">
        <v>0</v>
      </c>
      <c r="G433" s="419">
        <v>0</v>
      </c>
      <c r="H433" s="419">
        <v>0</v>
      </c>
      <c r="I433" s="419">
        <v>0</v>
      </c>
      <c r="J433" s="420">
        <v>0</v>
      </c>
      <c r="K433" s="420">
        <v>0</v>
      </c>
      <c r="L433" s="419">
        <v>0</v>
      </c>
      <c r="M433" s="419">
        <v>0</v>
      </c>
      <c r="N433" s="419">
        <v>0</v>
      </c>
      <c r="O433" s="420">
        <v>0</v>
      </c>
      <c r="P433" s="420">
        <v>0</v>
      </c>
      <c r="Q433" s="419">
        <v>0</v>
      </c>
      <c r="R433" s="420">
        <v>0</v>
      </c>
      <c r="S433" s="420">
        <v>0</v>
      </c>
      <c r="T433" s="420">
        <v>0</v>
      </c>
      <c r="U433" s="420">
        <v>0</v>
      </c>
      <c r="V433" s="421"/>
    </row>
    <row r="434" spans="1:22">
      <c r="A434" s="416"/>
      <c r="B434" s="422" t="s">
        <v>619</v>
      </c>
      <c r="C434" s="423">
        <v>0</v>
      </c>
      <c r="D434" s="424">
        <v>0</v>
      </c>
      <c r="E434" s="424">
        <v>0</v>
      </c>
      <c r="F434" s="424">
        <v>0</v>
      </c>
      <c r="G434" s="424">
        <v>0</v>
      </c>
      <c r="H434" s="424">
        <v>0</v>
      </c>
      <c r="I434" s="424">
        <v>0</v>
      </c>
      <c r="J434" s="426">
        <v>0</v>
      </c>
      <c r="K434" s="426">
        <v>0</v>
      </c>
      <c r="L434" s="424">
        <v>0</v>
      </c>
      <c r="M434" s="424">
        <v>0</v>
      </c>
      <c r="N434" s="424">
        <v>0</v>
      </c>
      <c r="O434" s="426">
        <v>0</v>
      </c>
      <c r="P434" s="426">
        <v>0</v>
      </c>
      <c r="Q434" s="424">
        <v>0</v>
      </c>
      <c r="R434" s="426">
        <v>0</v>
      </c>
      <c r="S434" s="426">
        <v>0</v>
      </c>
      <c r="T434" s="426">
        <v>0</v>
      </c>
      <c r="U434" s="426">
        <v>0</v>
      </c>
      <c r="V434" s="421"/>
    </row>
    <row r="435" spans="1:22">
      <c r="A435" s="416"/>
      <c r="B435" s="394" t="s">
        <v>620</v>
      </c>
      <c r="C435" s="413">
        <v>0</v>
      </c>
      <c r="D435" s="414">
        <v>0</v>
      </c>
      <c r="E435" s="414">
        <v>0</v>
      </c>
      <c r="F435" s="414">
        <v>0</v>
      </c>
      <c r="G435" s="414">
        <v>0</v>
      </c>
      <c r="H435" s="414">
        <v>0</v>
      </c>
      <c r="I435" s="414">
        <v>0</v>
      </c>
      <c r="J435" s="415">
        <v>0</v>
      </c>
      <c r="K435" s="415">
        <v>0</v>
      </c>
      <c r="L435" s="414">
        <v>0</v>
      </c>
      <c r="M435" s="414">
        <v>0</v>
      </c>
      <c r="N435" s="414">
        <v>0</v>
      </c>
      <c r="O435" s="415">
        <v>0</v>
      </c>
      <c r="P435" s="415">
        <v>0</v>
      </c>
      <c r="Q435" s="414">
        <v>0</v>
      </c>
      <c r="R435" s="415">
        <v>0</v>
      </c>
      <c r="S435" s="415">
        <v>0</v>
      </c>
      <c r="T435" s="415">
        <v>0</v>
      </c>
      <c r="U435" s="415">
        <v>0</v>
      </c>
      <c r="V435" s="421"/>
    </row>
    <row r="436" spans="1:22">
      <c r="A436" s="416"/>
      <c r="B436" s="417" t="s">
        <v>621</v>
      </c>
      <c r="C436" s="418">
        <v>0</v>
      </c>
      <c r="D436" s="419">
        <v>0</v>
      </c>
      <c r="E436" s="419">
        <v>0</v>
      </c>
      <c r="F436" s="419">
        <v>0</v>
      </c>
      <c r="G436" s="419">
        <v>0</v>
      </c>
      <c r="H436" s="419">
        <v>0</v>
      </c>
      <c r="I436" s="419">
        <v>0</v>
      </c>
      <c r="J436" s="420">
        <v>0</v>
      </c>
      <c r="K436" s="420">
        <v>0</v>
      </c>
      <c r="L436" s="419">
        <v>0</v>
      </c>
      <c r="M436" s="419">
        <v>0</v>
      </c>
      <c r="N436" s="419">
        <v>0</v>
      </c>
      <c r="O436" s="420">
        <v>0</v>
      </c>
      <c r="P436" s="420">
        <v>0</v>
      </c>
      <c r="Q436" s="419">
        <v>0</v>
      </c>
      <c r="R436" s="420">
        <v>0</v>
      </c>
      <c r="S436" s="420">
        <v>0</v>
      </c>
      <c r="T436" s="420">
        <v>0</v>
      </c>
      <c r="U436" s="420">
        <v>0</v>
      </c>
      <c r="V436" s="421"/>
    </row>
    <row r="437" spans="1:22" ht="15" thickBot="1">
      <c r="A437" s="432"/>
      <c r="B437" s="433" t="s">
        <v>622</v>
      </c>
      <c r="C437" s="434">
        <v>0</v>
      </c>
      <c r="D437" s="435">
        <v>0</v>
      </c>
      <c r="E437" s="435">
        <v>0</v>
      </c>
      <c r="F437" s="435">
        <v>0</v>
      </c>
      <c r="G437" s="435">
        <v>0</v>
      </c>
      <c r="H437" s="435">
        <v>0</v>
      </c>
      <c r="I437" s="435">
        <v>0</v>
      </c>
      <c r="J437" s="436">
        <v>0</v>
      </c>
      <c r="K437" s="436">
        <v>0</v>
      </c>
      <c r="L437" s="435">
        <v>0</v>
      </c>
      <c r="M437" s="435">
        <v>0</v>
      </c>
      <c r="N437" s="435">
        <v>0</v>
      </c>
      <c r="O437" s="436">
        <v>0</v>
      </c>
      <c r="P437" s="436">
        <v>0</v>
      </c>
      <c r="Q437" s="435">
        <v>0</v>
      </c>
      <c r="R437" s="436">
        <v>0</v>
      </c>
      <c r="S437" s="436">
        <v>0</v>
      </c>
      <c r="T437" s="436">
        <v>0</v>
      </c>
      <c r="U437" s="436">
        <v>0</v>
      </c>
      <c r="V437" s="421"/>
    </row>
    <row r="438" spans="1:22">
      <c r="A438" s="412" t="s">
        <v>433</v>
      </c>
      <c r="B438" s="394" t="s">
        <v>587</v>
      </c>
      <c r="C438" s="413">
        <v>0.81922754377625517</v>
      </c>
      <c r="D438" s="414">
        <v>0.73556642497032421</v>
      </c>
      <c r="E438" s="414">
        <v>0.6809512875016196</v>
      </c>
      <c r="F438" s="414">
        <v>0</v>
      </c>
      <c r="G438" s="414">
        <v>0.74002154215019866</v>
      </c>
      <c r="H438" s="414">
        <v>0</v>
      </c>
      <c r="I438" s="414">
        <v>0</v>
      </c>
      <c r="J438" s="415">
        <v>0.7507347739682404</v>
      </c>
      <c r="K438" s="415">
        <v>0</v>
      </c>
      <c r="L438" s="414">
        <v>0.40752880829144561</v>
      </c>
      <c r="M438" s="414">
        <v>0.3410521606680656</v>
      </c>
      <c r="N438" s="414">
        <v>0.2943698477968546</v>
      </c>
      <c r="O438" s="415">
        <v>0.37446927142340247</v>
      </c>
      <c r="P438" s="415">
        <v>0</v>
      </c>
      <c r="Q438" s="414">
        <v>0</v>
      </c>
      <c r="R438" s="415">
        <v>0</v>
      </c>
      <c r="S438" s="415">
        <v>0</v>
      </c>
      <c r="T438" s="415">
        <v>0</v>
      </c>
      <c r="U438" s="415">
        <v>0.61390857909755081</v>
      </c>
      <c r="V438" s="421"/>
    </row>
    <row r="439" spans="1:22">
      <c r="A439" s="416"/>
      <c r="B439" s="417" t="s">
        <v>588</v>
      </c>
      <c r="C439" s="418">
        <v>0.80951872819394932</v>
      </c>
      <c r="D439" s="419">
        <v>0.7137791536068212</v>
      </c>
      <c r="E439" s="419">
        <v>0.66560160199524987</v>
      </c>
      <c r="F439" s="419">
        <v>0</v>
      </c>
      <c r="G439" s="419">
        <v>0.73189299773720595</v>
      </c>
      <c r="H439" s="419">
        <v>0</v>
      </c>
      <c r="I439" s="419">
        <v>0</v>
      </c>
      <c r="J439" s="420">
        <v>0.73629371376539132</v>
      </c>
      <c r="K439" s="420">
        <v>0</v>
      </c>
      <c r="L439" s="419">
        <v>0.39195314849067436</v>
      </c>
      <c r="M439" s="419">
        <v>0.32356260524184738</v>
      </c>
      <c r="N439" s="419">
        <v>0.3090753749762673</v>
      </c>
      <c r="O439" s="420">
        <v>0.35825927868115609</v>
      </c>
      <c r="P439" s="420">
        <v>0</v>
      </c>
      <c r="Q439" s="419">
        <v>0</v>
      </c>
      <c r="R439" s="420">
        <v>0</v>
      </c>
      <c r="S439" s="420">
        <v>0</v>
      </c>
      <c r="T439" s="420">
        <v>0</v>
      </c>
      <c r="U439" s="420">
        <v>0.59730925262324841</v>
      </c>
      <c r="V439" s="421"/>
    </row>
    <row r="440" spans="1:22">
      <c r="A440" s="416"/>
      <c r="B440" s="422" t="s">
        <v>589</v>
      </c>
      <c r="C440" s="423">
        <v>-0.9708815582305852</v>
      </c>
      <c r="D440" s="424">
        <v>-2.1787271363503002</v>
      </c>
      <c r="E440" s="424">
        <v>-1.5349685506369726</v>
      </c>
      <c r="F440" s="424">
        <v>0</v>
      </c>
      <c r="G440" s="424">
        <v>-0.81285444129927109</v>
      </c>
      <c r="H440" s="424">
        <v>0</v>
      </c>
      <c r="I440" s="424">
        <v>0</v>
      </c>
      <c r="J440" s="426">
        <v>-1.4441060202849076</v>
      </c>
      <c r="K440" s="426">
        <v>0</v>
      </c>
      <c r="L440" s="424">
        <v>-1.5575659800771247</v>
      </c>
      <c r="M440" s="424">
        <v>-1.7489555426218217</v>
      </c>
      <c r="N440" s="424">
        <v>1.4705527179412703</v>
      </c>
      <c r="O440" s="426">
        <v>-1.6209992742246382</v>
      </c>
      <c r="P440" s="426">
        <v>0</v>
      </c>
      <c r="Q440" s="424">
        <v>0</v>
      </c>
      <c r="R440" s="426">
        <v>0</v>
      </c>
      <c r="S440" s="426">
        <v>0</v>
      </c>
      <c r="T440" s="426">
        <v>0</v>
      </c>
      <c r="U440" s="426">
        <v>-1.65993264743024</v>
      </c>
      <c r="V440" s="421"/>
    </row>
    <row r="441" spans="1:22">
      <c r="A441" s="416"/>
      <c r="B441" s="394" t="s">
        <v>590</v>
      </c>
      <c r="C441" s="413">
        <v>1.8492110419347733E-2</v>
      </c>
      <c r="D441" s="414">
        <v>3.7149101900591869E-2</v>
      </c>
      <c r="E441" s="414">
        <v>2.3778339082501959E-2</v>
      </c>
      <c r="F441" s="414">
        <v>0</v>
      </c>
      <c r="G441" s="414">
        <v>7.8574080046735509E-2</v>
      </c>
      <c r="H441" s="414">
        <v>0</v>
      </c>
      <c r="I441" s="414">
        <v>0</v>
      </c>
      <c r="J441" s="415">
        <v>2.9378078364817352E-2</v>
      </c>
      <c r="K441" s="415">
        <v>0</v>
      </c>
      <c r="L441" s="414">
        <v>0.31077980742784772</v>
      </c>
      <c r="M441" s="414">
        <v>0.35682445171117244</v>
      </c>
      <c r="N441" s="414">
        <v>0.39426656013096095</v>
      </c>
      <c r="O441" s="415">
        <v>0.33383376139605786</v>
      </c>
      <c r="P441" s="415">
        <v>0</v>
      </c>
      <c r="Q441" s="414">
        <v>0</v>
      </c>
      <c r="R441" s="415">
        <v>0</v>
      </c>
      <c r="S441" s="415">
        <v>0</v>
      </c>
      <c r="T441" s="415">
        <v>0</v>
      </c>
      <c r="U441" s="415">
        <v>0.14009115818259116</v>
      </c>
      <c r="V441" s="421"/>
    </row>
    <row r="442" spans="1:22">
      <c r="A442" s="416"/>
      <c r="B442" s="417" t="s">
        <v>591</v>
      </c>
      <c r="C442" s="418">
        <v>1.8684367479234829E-2</v>
      </c>
      <c r="D442" s="419">
        <v>4.0051356216730775E-2</v>
      </c>
      <c r="E442" s="419">
        <v>2.4247253685468723E-2</v>
      </c>
      <c r="F442" s="419">
        <v>0</v>
      </c>
      <c r="G442" s="419">
        <v>9.0741142556027402E-2</v>
      </c>
      <c r="H442" s="419">
        <v>0</v>
      </c>
      <c r="I442" s="419">
        <v>0</v>
      </c>
      <c r="J442" s="420">
        <v>3.1045305723290256E-2</v>
      </c>
      <c r="K442" s="420">
        <v>0</v>
      </c>
      <c r="L442" s="419">
        <v>0.30998920283186487</v>
      </c>
      <c r="M442" s="419">
        <v>0.34651464709436097</v>
      </c>
      <c r="N442" s="419">
        <v>0.36797038162141638</v>
      </c>
      <c r="O442" s="420">
        <v>0.328407021223798</v>
      </c>
      <c r="P442" s="420">
        <v>0</v>
      </c>
      <c r="Q442" s="419">
        <v>0</v>
      </c>
      <c r="R442" s="420">
        <v>0</v>
      </c>
      <c r="S442" s="420">
        <v>0</v>
      </c>
      <c r="T442" s="420">
        <v>0</v>
      </c>
      <c r="U442" s="420">
        <v>0.1403704199392273</v>
      </c>
      <c r="V442" s="421"/>
    </row>
    <row r="443" spans="1:22">
      <c r="A443" s="416"/>
      <c r="B443" s="422" t="s">
        <v>592</v>
      </c>
      <c r="C443" s="423">
        <v>1.9225705988709652E-2</v>
      </c>
      <c r="D443" s="424">
        <v>0.29022543161389069</v>
      </c>
      <c r="E443" s="424">
        <v>4.6891460296676415E-2</v>
      </c>
      <c r="F443" s="424">
        <v>0</v>
      </c>
      <c r="G443" s="424">
        <v>1.2167062509291893</v>
      </c>
      <c r="H443" s="424">
        <v>0</v>
      </c>
      <c r="I443" s="424">
        <v>0</v>
      </c>
      <c r="J443" s="426">
        <v>0.16672273584729044</v>
      </c>
      <c r="K443" s="426">
        <v>0</v>
      </c>
      <c r="L443" s="424">
        <v>-7.9060459598284671E-2</v>
      </c>
      <c r="M443" s="424">
        <v>-1.0309804616811469</v>
      </c>
      <c r="N443" s="424">
        <v>-2.6296178509544577</v>
      </c>
      <c r="O443" s="426">
        <v>-0.54267401722598585</v>
      </c>
      <c r="P443" s="426">
        <v>0</v>
      </c>
      <c r="Q443" s="424">
        <v>0</v>
      </c>
      <c r="R443" s="426">
        <v>0</v>
      </c>
      <c r="S443" s="426">
        <v>0</v>
      </c>
      <c r="T443" s="426">
        <v>0</v>
      </c>
      <c r="U443" s="426">
        <v>2.792617566361455E-2</v>
      </c>
      <c r="V443" s="421"/>
    </row>
    <row r="444" spans="1:22">
      <c r="A444" s="416"/>
      <c r="B444" s="394" t="s">
        <v>593</v>
      </c>
      <c r="C444" s="413">
        <v>0.12182861272458156</v>
      </c>
      <c r="D444" s="414">
        <v>0.17350660795672732</v>
      </c>
      <c r="E444" s="414">
        <v>0.18847566427591905</v>
      </c>
      <c r="F444" s="414">
        <v>0</v>
      </c>
      <c r="G444" s="414">
        <v>0.15787231711992405</v>
      </c>
      <c r="H444" s="414">
        <v>0</v>
      </c>
      <c r="I444" s="414">
        <v>0</v>
      </c>
      <c r="J444" s="415">
        <v>0.15846068794028392</v>
      </c>
      <c r="K444" s="415">
        <v>0</v>
      </c>
      <c r="L444" s="414">
        <v>0.23203280540297652</v>
      </c>
      <c r="M444" s="414">
        <v>0.21001272860901335</v>
      </c>
      <c r="N444" s="414">
        <v>0.2304289361370413</v>
      </c>
      <c r="O444" s="415">
        <v>0.22217404456993042</v>
      </c>
      <c r="P444" s="415">
        <v>0</v>
      </c>
      <c r="Q444" s="414">
        <v>0</v>
      </c>
      <c r="R444" s="415">
        <v>0</v>
      </c>
      <c r="S444" s="415">
        <v>0</v>
      </c>
      <c r="T444" s="415">
        <v>0</v>
      </c>
      <c r="U444" s="415">
        <v>0.18162958355019945</v>
      </c>
      <c r="V444" s="421"/>
    </row>
    <row r="445" spans="1:22">
      <c r="A445" s="416"/>
      <c r="B445" s="417" t="s">
        <v>594</v>
      </c>
      <c r="C445" s="418">
        <v>0.13026560746345731</v>
      </c>
      <c r="D445" s="419">
        <v>0.19060549859199769</v>
      </c>
      <c r="E445" s="419">
        <v>0.2054807279350509</v>
      </c>
      <c r="F445" s="419">
        <v>0</v>
      </c>
      <c r="G445" s="419">
        <v>0.14925761755680234</v>
      </c>
      <c r="H445" s="419">
        <v>0</v>
      </c>
      <c r="I445" s="419">
        <v>0</v>
      </c>
      <c r="J445" s="420">
        <v>0.17069865123378863</v>
      </c>
      <c r="K445" s="420">
        <v>0</v>
      </c>
      <c r="L445" s="419">
        <v>0.24871641260671884</v>
      </c>
      <c r="M445" s="419">
        <v>0.23414013393832667</v>
      </c>
      <c r="N445" s="419">
        <v>0.24108600721473325</v>
      </c>
      <c r="O445" s="420">
        <v>0.24184442904565481</v>
      </c>
      <c r="P445" s="420">
        <v>0</v>
      </c>
      <c r="Q445" s="419">
        <v>0</v>
      </c>
      <c r="R445" s="420">
        <v>0</v>
      </c>
      <c r="S445" s="420">
        <v>0</v>
      </c>
      <c r="T445" s="420">
        <v>0</v>
      </c>
      <c r="U445" s="420">
        <v>0.1968554154701406</v>
      </c>
      <c r="V445" s="421"/>
    </row>
    <row r="446" spans="1:22">
      <c r="A446" s="416"/>
      <c r="B446" s="422" t="s">
        <v>595</v>
      </c>
      <c r="C446" s="423">
        <v>0.84369947388757416</v>
      </c>
      <c r="D446" s="424">
        <v>1.709889063527037</v>
      </c>
      <c r="E446" s="424">
        <v>1.7005063659131847</v>
      </c>
      <c r="F446" s="424">
        <v>0</v>
      </c>
      <c r="G446" s="424">
        <v>-0.86146995631217194</v>
      </c>
      <c r="H446" s="424">
        <v>0</v>
      </c>
      <c r="I446" s="424">
        <v>0</v>
      </c>
      <c r="J446" s="426">
        <v>1.223796329350471</v>
      </c>
      <c r="K446" s="426">
        <v>0</v>
      </c>
      <c r="L446" s="424">
        <v>1.6683607203742317</v>
      </c>
      <c r="M446" s="424">
        <v>2.4127405329313318</v>
      </c>
      <c r="N446" s="424">
        <v>1.0657071077691955</v>
      </c>
      <c r="O446" s="426">
        <v>1.967038447572439</v>
      </c>
      <c r="P446" s="426">
        <v>0</v>
      </c>
      <c r="Q446" s="424">
        <v>0</v>
      </c>
      <c r="R446" s="426">
        <v>0</v>
      </c>
      <c r="S446" s="426">
        <v>0</v>
      </c>
      <c r="T446" s="426">
        <v>0</v>
      </c>
      <c r="U446" s="426">
        <v>1.5225831919941146</v>
      </c>
      <c r="V446" s="421"/>
    </row>
    <row r="447" spans="1:22">
      <c r="A447" s="416"/>
      <c r="B447" s="394" t="s">
        <v>596</v>
      </c>
      <c r="C447" s="413">
        <v>1.3332869581347896E-4</v>
      </c>
      <c r="D447" s="414">
        <v>7.3332516582949757E-3</v>
      </c>
      <c r="E447" s="414">
        <v>0</v>
      </c>
      <c r="F447" s="414">
        <v>0</v>
      </c>
      <c r="G447" s="414">
        <v>2.219328298717816E-2</v>
      </c>
      <c r="H447" s="414">
        <v>0</v>
      </c>
      <c r="I447" s="414">
        <v>0</v>
      </c>
      <c r="J447" s="415">
        <v>3.6973426112634723E-3</v>
      </c>
      <c r="K447" s="415">
        <v>0</v>
      </c>
      <c r="L447" s="414">
        <v>2.0373214655585146E-5</v>
      </c>
      <c r="M447" s="414">
        <v>3.0856225301705315E-2</v>
      </c>
      <c r="N447" s="414">
        <v>5.6632822091867555E-2</v>
      </c>
      <c r="O447" s="415">
        <v>1.5480843945927671E-2</v>
      </c>
      <c r="P447" s="415">
        <v>0</v>
      </c>
      <c r="Q447" s="414">
        <v>0</v>
      </c>
      <c r="R447" s="415">
        <v>0</v>
      </c>
      <c r="S447" s="415">
        <v>0</v>
      </c>
      <c r="T447" s="415">
        <v>0</v>
      </c>
      <c r="U447" s="415">
        <v>7.9823265892556214E-3</v>
      </c>
      <c r="V447" s="421"/>
    </row>
    <row r="448" spans="1:22">
      <c r="A448" s="416"/>
      <c r="B448" s="417" t="s">
        <v>597</v>
      </c>
      <c r="C448" s="418">
        <v>9.718043357717365E-5</v>
      </c>
      <c r="D448" s="419">
        <v>9.4680170363567254E-3</v>
      </c>
      <c r="E448" s="419">
        <v>0</v>
      </c>
      <c r="F448" s="419">
        <v>0</v>
      </c>
      <c r="G448" s="419">
        <v>2.6465391649359907E-2</v>
      </c>
      <c r="H448" s="419">
        <v>0</v>
      </c>
      <c r="I448" s="419">
        <v>0</v>
      </c>
      <c r="J448" s="420">
        <v>4.5637147249555435E-3</v>
      </c>
      <c r="K448" s="420">
        <v>0</v>
      </c>
      <c r="L448" s="419">
        <v>3.47377244854261E-4</v>
      </c>
      <c r="M448" s="419">
        <v>2.9624535650474956E-2</v>
      </c>
      <c r="N448" s="419">
        <v>6.4287070438579841E-2</v>
      </c>
      <c r="O448" s="420">
        <v>1.5648629793848703E-2</v>
      </c>
      <c r="P448" s="420">
        <v>0</v>
      </c>
      <c r="Q448" s="419">
        <v>0</v>
      </c>
      <c r="R448" s="420">
        <v>0</v>
      </c>
      <c r="S448" s="420">
        <v>0</v>
      </c>
      <c r="T448" s="420">
        <v>0</v>
      </c>
      <c r="U448" s="420">
        <v>8.6390867140529008E-3</v>
      </c>
      <c r="V448" s="421"/>
    </row>
    <row r="449" spans="1:22">
      <c r="A449" s="416"/>
      <c r="B449" s="422" t="s">
        <v>598</v>
      </c>
      <c r="C449" s="423">
        <v>-3.614826223630531E-3</v>
      </c>
      <c r="D449" s="424">
        <v>0.21347653780617498</v>
      </c>
      <c r="E449" s="424">
        <v>0</v>
      </c>
      <c r="F449" s="424">
        <v>0</v>
      </c>
      <c r="G449" s="424">
        <v>0.42721086621817472</v>
      </c>
      <c r="H449" s="424">
        <v>0</v>
      </c>
      <c r="I449" s="424">
        <v>0</v>
      </c>
      <c r="J449" s="426">
        <v>8.6637211369207115E-2</v>
      </c>
      <c r="K449" s="426">
        <v>0</v>
      </c>
      <c r="L449" s="424">
        <v>3.2700403019867583E-2</v>
      </c>
      <c r="M449" s="424">
        <v>-0.12316896512303589</v>
      </c>
      <c r="N449" s="424">
        <v>0.76542483467122868</v>
      </c>
      <c r="O449" s="426">
        <v>1.6778584792103216E-2</v>
      </c>
      <c r="P449" s="426">
        <v>0</v>
      </c>
      <c r="Q449" s="424">
        <v>0</v>
      </c>
      <c r="R449" s="426">
        <v>0</v>
      </c>
      <c r="S449" s="426">
        <v>0</v>
      </c>
      <c r="T449" s="426">
        <v>0</v>
      </c>
      <c r="U449" s="426">
        <v>6.5676012479727944E-2</v>
      </c>
      <c r="V449" s="421"/>
    </row>
    <row r="450" spans="1:22">
      <c r="A450" s="416"/>
      <c r="B450" s="394" t="s">
        <v>599</v>
      </c>
      <c r="C450" s="413">
        <v>3.5209403344424732E-2</v>
      </c>
      <c r="D450" s="414">
        <v>3.930697014091003E-2</v>
      </c>
      <c r="E450" s="414">
        <v>9.8875865421989839E-2</v>
      </c>
      <c r="F450" s="414">
        <v>0</v>
      </c>
      <c r="G450" s="414">
        <v>3.2252371766395465E-4</v>
      </c>
      <c r="H450" s="414">
        <v>0</v>
      </c>
      <c r="I450" s="414">
        <v>0</v>
      </c>
      <c r="J450" s="415">
        <v>5.1437736824996853E-2</v>
      </c>
      <c r="K450" s="415">
        <v>0</v>
      </c>
      <c r="L450" s="414">
        <v>4.8235849387615125E-2</v>
      </c>
      <c r="M450" s="414">
        <v>5.9325170691179444E-2</v>
      </c>
      <c r="N450" s="414">
        <v>1.9117962309746068E-2</v>
      </c>
      <c r="O450" s="415">
        <v>5.2289888426884319E-2</v>
      </c>
      <c r="P450" s="415">
        <v>0</v>
      </c>
      <c r="Q450" s="414">
        <v>0</v>
      </c>
      <c r="R450" s="415">
        <v>0</v>
      </c>
      <c r="S450" s="415">
        <v>0</v>
      </c>
      <c r="T450" s="415">
        <v>0</v>
      </c>
      <c r="U450" s="415">
        <v>5.174761551531163E-2</v>
      </c>
      <c r="V450" s="421"/>
    </row>
    <row r="451" spans="1:22">
      <c r="A451" s="416"/>
      <c r="B451" s="417" t="s">
        <v>600</v>
      </c>
      <c r="C451" s="418">
        <v>3.4921121881413192E-2</v>
      </c>
      <c r="D451" s="419">
        <v>3.8724514320362675E-2</v>
      </c>
      <c r="E451" s="419">
        <v>9.8142906669288363E-2</v>
      </c>
      <c r="F451" s="419">
        <v>0</v>
      </c>
      <c r="G451" s="419">
        <v>1.3018815287808809E-4</v>
      </c>
      <c r="H451" s="419">
        <v>0</v>
      </c>
      <c r="I451" s="419">
        <v>0</v>
      </c>
      <c r="J451" s="420">
        <v>5.0877320733324849E-2</v>
      </c>
      <c r="K451" s="420">
        <v>0</v>
      </c>
      <c r="L451" s="419">
        <v>4.7610044555402686E-2</v>
      </c>
      <c r="M451" s="419">
        <v>6.4059025412290957E-2</v>
      </c>
      <c r="N451" s="419">
        <v>1.3404214923106133E-2</v>
      </c>
      <c r="O451" s="420">
        <v>5.40450695520669E-2</v>
      </c>
      <c r="P451" s="420">
        <v>0</v>
      </c>
      <c r="Q451" s="419">
        <v>0</v>
      </c>
      <c r="R451" s="420">
        <v>0</v>
      </c>
      <c r="S451" s="420">
        <v>0</v>
      </c>
      <c r="T451" s="420">
        <v>0</v>
      </c>
      <c r="U451" s="420">
        <v>5.2041944433566391E-2</v>
      </c>
      <c r="V451" s="421"/>
    </row>
    <row r="452" spans="1:22">
      <c r="A452" s="416"/>
      <c r="B452" s="422" t="s">
        <v>601</v>
      </c>
      <c r="C452" s="423">
        <v>-2.8828146301154017E-2</v>
      </c>
      <c r="D452" s="424">
        <v>-5.8245582054735484E-2</v>
      </c>
      <c r="E452" s="424">
        <v>-7.3295875270147637E-2</v>
      </c>
      <c r="F452" s="424">
        <v>0</v>
      </c>
      <c r="G452" s="424">
        <v>-1.9233556478586655E-2</v>
      </c>
      <c r="H452" s="424">
        <v>0</v>
      </c>
      <c r="I452" s="424">
        <v>0</v>
      </c>
      <c r="J452" s="426">
        <v>-5.604160916720044E-2</v>
      </c>
      <c r="K452" s="426">
        <v>0</v>
      </c>
      <c r="L452" s="424">
        <v>-6.2580483221243849E-2</v>
      </c>
      <c r="M452" s="424">
        <v>0.47338547211115134</v>
      </c>
      <c r="N452" s="424">
        <v>-0.57137473866399358</v>
      </c>
      <c r="O452" s="426">
        <v>0.17551811251825811</v>
      </c>
      <c r="P452" s="426">
        <v>0</v>
      </c>
      <c r="Q452" s="424">
        <v>0</v>
      </c>
      <c r="R452" s="426">
        <v>0</v>
      </c>
      <c r="S452" s="426">
        <v>0</v>
      </c>
      <c r="T452" s="426">
        <v>0</v>
      </c>
      <c r="U452" s="426">
        <v>2.9432891825476037E-2</v>
      </c>
      <c r="V452" s="421"/>
    </row>
    <row r="453" spans="1:22">
      <c r="A453" s="416"/>
      <c r="B453" s="394" t="s">
        <v>602</v>
      </c>
      <c r="C453" s="413">
        <v>5.1090010395773676E-3</v>
      </c>
      <c r="D453" s="414">
        <v>7.1376433731516302E-3</v>
      </c>
      <c r="E453" s="414">
        <v>7.9188437179696057E-3</v>
      </c>
      <c r="F453" s="414">
        <v>0</v>
      </c>
      <c r="G453" s="414">
        <v>1.0162539782996307E-3</v>
      </c>
      <c r="H453" s="414">
        <v>0</v>
      </c>
      <c r="I453" s="414">
        <v>0</v>
      </c>
      <c r="J453" s="415">
        <v>6.291380290397993E-3</v>
      </c>
      <c r="K453" s="415">
        <v>0</v>
      </c>
      <c r="L453" s="414">
        <v>1.4023562754594443E-3</v>
      </c>
      <c r="M453" s="414">
        <v>1.9292630188639051E-3</v>
      </c>
      <c r="N453" s="414">
        <v>5.1838715335295153E-3</v>
      </c>
      <c r="O453" s="415">
        <v>1.7521902377972466E-3</v>
      </c>
      <c r="P453" s="415">
        <v>0</v>
      </c>
      <c r="Q453" s="414">
        <v>0</v>
      </c>
      <c r="R453" s="415">
        <v>0</v>
      </c>
      <c r="S453" s="415">
        <v>0</v>
      </c>
      <c r="T453" s="415">
        <v>0</v>
      </c>
      <c r="U453" s="415">
        <v>4.6407370650913254E-3</v>
      </c>
      <c r="V453" s="421"/>
    </row>
    <row r="454" spans="1:22">
      <c r="A454" s="416"/>
      <c r="B454" s="417" t="s">
        <v>603</v>
      </c>
      <c r="C454" s="418">
        <v>6.5129945483682261E-3</v>
      </c>
      <c r="D454" s="419">
        <v>7.3714602277308913E-3</v>
      </c>
      <c r="E454" s="419">
        <v>6.5275097149421245E-3</v>
      </c>
      <c r="F454" s="419">
        <v>0</v>
      </c>
      <c r="G454" s="419">
        <v>1.5126623477263569E-3</v>
      </c>
      <c r="H454" s="419">
        <v>0</v>
      </c>
      <c r="I454" s="419">
        <v>0</v>
      </c>
      <c r="J454" s="420">
        <v>6.5212938192494027E-3</v>
      </c>
      <c r="K454" s="420">
        <v>0</v>
      </c>
      <c r="L454" s="419">
        <v>1.3838142704850069E-3</v>
      </c>
      <c r="M454" s="419">
        <v>2.0990526626990759E-3</v>
      </c>
      <c r="N454" s="419">
        <v>4.1769508258970951E-3</v>
      </c>
      <c r="O454" s="420">
        <v>1.7955717034754963E-3</v>
      </c>
      <c r="P454" s="420">
        <v>0</v>
      </c>
      <c r="Q454" s="419">
        <v>0</v>
      </c>
      <c r="R454" s="420">
        <v>0</v>
      </c>
      <c r="S454" s="420">
        <v>0</v>
      </c>
      <c r="T454" s="420">
        <v>0</v>
      </c>
      <c r="U454" s="420">
        <v>4.783880819764337E-3</v>
      </c>
      <c r="V454" s="421"/>
    </row>
    <row r="455" spans="1:22" ht="15" thickBot="1">
      <c r="A455" s="416"/>
      <c r="B455" s="428" t="s">
        <v>604</v>
      </c>
      <c r="C455" s="429">
        <v>0.14039935087908584</v>
      </c>
      <c r="D455" s="430">
        <v>2.3381685457926106E-2</v>
      </c>
      <c r="E455" s="430">
        <v>-0.13913340030274812</v>
      </c>
      <c r="F455" s="430">
        <v>0</v>
      </c>
      <c r="G455" s="430">
        <v>4.9640836942672621E-2</v>
      </c>
      <c r="H455" s="430">
        <v>0</v>
      </c>
      <c r="I455" s="430">
        <v>0</v>
      </c>
      <c r="J455" s="431">
        <v>2.2991352885140971E-2</v>
      </c>
      <c r="K455" s="431">
        <v>0</v>
      </c>
      <c r="L455" s="430">
        <v>-1.8542004974437393E-3</v>
      </c>
      <c r="M455" s="430">
        <v>1.6978964383517078E-2</v>
      </c>
      <c r="N455" s="430">
        <v>-0.10069207076324202</v>
      </c>
      <c r="O455" s="431">
        <v>4.3381465678249756E-3</v>
      </c>
      <c r="P455" s="431">
        <v>0</v>
      </c>
      <c r="Q455" s="430">
        <v>0</v>
      </c>
      <c r="R455" s="431">
        <v>0</v>
      </c>
      <c r="S455" s="431">
        <v>0</v>
      </c>
      <c r="T455" s="431">
        <v>0</v>
      </c>
      <c r="U455" s="431">
        <v>1.4314375467301167E-2</v>
      </c>
      <c r="V455" s="421"/>
    </row>
    <row r="456" spans="1:22" ht="15" thickTop="1">
      <c r="A456" s="416"/>
      <c r="B456" s="417" t="s">
        <v>605</v>
      </c>
      <c r="C456" s="418">
        <v>0.67444735311227455</v>
      </c>
      <c r="D456" s="419">
        <v>0.47400773419012254</v>
      </c>
      <c r="E456" s="419">
        <v>0.41711914174636244</v>
      </c>
      <c r="F456" s="419">
        <v>0</v>
      </c>
      <c r="G456" s="419">
        <v>0.14709032488397</v>
      </c>
      <c r="H456" s="419">
        <v>0</v>
      </c>
      <c r="I456" s="419">
        <v>0</v>
      </c>
      <c r="J456" s="420">
        <v>0.55176528719129614</v>
      </c>
      <c r="K456" s="420">
        <v>0</v>
      </c>
      <c r="L456" s="419">
        <v>0</v>
      </c>
      <c r="M456" s="419">
        <v>0</v>
      </c>
      <c r="N456" s="419">
        <v>0</v>
      </c>
      <c r="O456" s="420">
        <v>0</v>
      </c>
      <c r="P456" s="420">
        <v>0</v>
      </c>
      <c r="Q456" s="419">
        <v>0</v>
      </c>
      <c r="R456" s="420">
        <v>0</v>
      </c>
      <c r="S456" s="420">
        <v>0</v>
      </c>
      <c r="T456" s="420">
        <v>0</v>
      </c>
      <c r="U456" s="420">
        <v>0.55176528719129614</v>
      </c>
      <c r="V456" s="421"/>
    </row>
    <row r="457" spans="1:22">
      <c r="A457" s="416"/>
      <c r="B457" s="417" t="s">
        <v>606</v>
      </c>
      <c r="C457" s="418">
        <v>0.65189184313776016</v>
      </c>
      <c r="D457" s="419">
        <v>0.44346636874951845</v>
      </c>
      <c r="E457" s="419">
        <v>0.3855723389569321</v>
      </c>
      <c r="F457" s="419">
        <v>0</v>
      </c>
      <c r="G457" s="419">
        <v>9.6230598669623066E-2</v>
      </c>
      <c r="H457" s="419">
        <v>0</v>
      </c>
      <c r="I457" s="419">
        <v>0</v>
      </c>
      <c r="J457" s="420">
        <v>0.52391401742692301</v>
      </c>
      <c r="K457" s="420">
        <v>0</v>
      </c>
      <c r="L457" s="419">
        <v>0</v>
      </c>
      <c r="M457" s="419">
        <v>0</v>
      </c>
      <c r="N457" s="419">
        <v>0</v>
      </c>
      <c r="O457" s="420">
        <v>0</v>
      </c>
      <c r="P457" s="420">
        <v>0</v>
      </c>
      <c r="Q457" s="419">
        <v>0</v>
      </c>
      <c r="R457" s="420">
        <v>0</v>
      </c>
      <c r="S457" s="420">
        <v>0</v>
      </c>
      <c r="T457" s="420">
        <v>0</v>
      </c>
      <c r="U457" s="420">
        <v>0.52391401742692301</v>
      </c>
      <c r="V457" s="421"/>
    </row>
    <row r="458" spans="1:22">
      <c r="A458" s="416"/>
      <c r="B458" s="422" t="s">
        <v>607</v>
      </c>
      <c r="C458" s="423">
        <v>-2.2555509974514387</v>
      </c>
      <c r="D458" s="424">
        <v>-3.0541365440604098</v>
      </c>
      <c r="E458" s="424">
        <v>-3.1546802789430339</v>
      </c>
      <c r="F458" s="424">
        <v>0</v>
      </c>
      <c r="G458" s="424">
        <v>-5.0859726214346939</v>
      </c>
      <c r="H458" s="424">
        <v>0</v>
      </c>
      <c r="I458" s="424">
        <v>0</v>
      </c>
      <c r="J458" s="426">
        <v>-2.7851269764373132</v>
      </c>
      <c r="K458" s="426">
        <v>0</v>
      </c>
      <c r="L458" s="424">
        <v>0</v>
      </c>
      <c r="M458" s="424">
        <v>0</v>
      </c>
      <c r="N458" s="424">
        <v>0</v>
      </c>
      <c r="O458" s="426">
        <v>0</v>
      </c>
      <c r="P458" s="426">
        <v>0</v>
      </c>
      <c r="Q458" s="424">
        <v>0</v>
      </c>
      <c r="R458" s="426">
        <v>0</v>
      </c>
      <c r="S458" s="426">
        <v>0</v>
      </c>
      <c r="T458" s="426">
        <v>0</v>
      </c>
      <c r="U458" s="426">
        <v>-2.7851269764373132</v>
      </c>
      <c r="V458" s="421"/>
    </row>
    <row r="459" spans="1:22">
      <c r="A459" s="416"/>
      <c r="B459" s="394" t="s">
        <v>608</v>
      </c>
      <c r="C459" s="413">
        <v>1.5363054630070337E-2</v>
      </c>
      <c r="D459" s="414">
        <v>8.7875406429767017E-2</v>
      </c>
      <c r="E459" s="414">
        <v>2.5098013484030775E-3</v>
      </c>
      <c r="F459" s="414">
        <v>0</v>
      </c>
      <c r="G459" s="414">
        <v>0</v>
      </c>
      <c r="H459" s="414">
        <v>0</v>
      </c>
      <c r="I459" s="414">
        <v>0</v>
      </c>
      <c r="J459" s="415">
        <v>3.6085758058852231E-2</v>
      </c>
      <c r="K459" s="415">
        <v>0</v>
      </c>
      <c r="L459" s="414">
        <v>0</v>
      </c>
      <c r="M459" s="414">
        <v>0</v>
      </c>
      <c r="N459" s="414">
        <v>0</v>
      </c>
      <c r="O459" s="415">
        <v>0</v>
      </c>
      <c r="P459" s="415">
        <v>0</v>
      </c>
      <c r="Q459" s="414">
        <v>0</v>
      </c>
      <c r="R459" s="415">
        <v>0</v>
      </c>
      <c r="S459" s="415">
        <v>0</v>
      </c>
      <c r="T459" s="415">
        <v>0</v>
      </c>
      <c r="U459" s="415">
        <v>3.6085758058852231E-2</v>
      </c>
      <c r="V459" s="421"/>
    </row>
    <row r="460" spans="1:22">
      <c r="A460" s="416"/>
      <c r="B460" s="417" t="s">
        <v>609</v>
      </c>
      <c r="C460" s="418">
        <v>1.4263717714970462E-2</v>
      </c>
      <c r="D460" s="419">
        <v>8.4001078665536633E-2</v>
      </c>
      <c r="E460" s="419">
        <v>2.3596641892868037E-3</v>
      </c>
      <c r="F460" s="419">
        <v>0</v>
      </c>
      <c r="G460" s="419">
        <v>4.434589800443459E-4</v>
      </c>
      <c r="H460" s="419">
        <v>0</v>
      </c>
      <c r="I460" s="419">
        <v>0</v>
      </c>
      <c r="J460" s="420">
        <v>3.3787140405896747E-2</v>
      </c>
      <c r="K460" s="420">
        <v>0</v>
      </c>
      <c r="L460" s="419">
        <v>0</v>
      </c>
      <c r="M460" s="419">
        <v>0</v>
      </c>
      <c r="N460" s="419">
        <v>0</v>
      </c>
      <c r="O460" s="420">
        <v>0</v>
      </c>
      <c r="P460" s="420">
        <v>0</v>
      </c>
      <c r="Q460" s="419">
        <v>0</v>
      </c>
      <c r="R460" s="420">
        <v>0</v>
      </c>
      <c r="S460" s="420">
        <v>0</v>
      </c>
      <c r="T460" s="420">
        <v>0</v>
      </c>
      <c r="U460" s="420">
        <v>3.3787140405896747E-2</v>
      </c>
      <c r="V460" s="421"/>
    </row>
    <row r="461" spans="1:22">
      <c r="A461" s="416"/>
      <c r="B461" s="422" t="s">
        <v>610</v>
      </c>
      <c r="C461" s="423">
        <v>-0.10993369150998755</v>
      </c>
      <c r="D461" s="424">
        <v>-0.38743277642303842</v>
      </c>
      <c r="E461" s="424">
        <v>-1.5013715911627382E-2</v>
      </c>
      <c r="F461" s="424">
        <v>0</v>
      </c>
      <c r="G461" s="424">
        <v>0</v>
      </c>
      <c r="H461" s="424">
        <v>0</v>
      </c>
      <c r="I461" s="424">
        <v>0</v>
      </c>
      <c r="J461" s="426">
        <v>-0.22986176529554841</v>
      </c>
      <c r="K461" s="426">
        <v>0</v>
      </c>
      <c r="L461" s="424">
        <v>0</v>
      </c>
      <c r="M461" s="424">
        <v>0</v>
      </c>
      <c r="N461" s="424">
        <v>0</v>
      </c>
      <c r="O461" s="426">
        <v>0</v>
      </c>
      <c r="P461" s="426">
        <v>0</v>
      </c>
      <c r="Q461" s="424">
        <v>0</v>
      </c>
      <c r="R461" s="426">
        <v>0</v>
      </c>
      <c r="S461" s="426">
        <v>0</v>
      </c>
      <c r="T461" s="426">
        <v>0</v>
      </c>
      <c r="U461" s="426">
        <v>-0.22986176529554841</v>
      </c>
      <c r="V461" s="421"/>
    </row>
    <row r="462" spans="1:22">
      <c r="A462" s="416"/>
      <c r="B462" s="394" t="s">
        <v>611</v>
      </c>
      <c r="C462" s="413">
        <v>0.24457269025331851</v>
      </c>
      <c r="D462" s="414">
        <v>0.36483444600496373</v>
      </c>
      <c r="E462" s="414">
        <v>0.511753416118502</v>
      </c>
      <c r="F462" s="414">
        <v>0</v>
      </c>
      <c r="G462" s="414">
        <v>0.85237415208853984</v>
      </c>
      <c r="H462" s="414">
        <v>0</v>
      </c>
      <c r="I462" s="414">
        <v>0</v>
      </c>
      <c r="J462" s="415">
        <v>0.3446202325126092</v>
      </c>
      <c r="K462" s="415">
        <v>0</v>
      </c>
      <c r="L462" s="414">
        <v>0</v>
      </c>
      <c r="M462" s="414">
        <v>0</v>
      </c>
      <c r="N462" s="414">
        <v>0</v>
      </c>
      <c r="O462" s="415">
        <v>0</v>
      </c>
      <c r="P462" s="415">
        <v>0</v>
      </c>
      <c r="Q462" s="414">
        <v>0</v>
      </c>
      <c r="R462" s="415">
        <v>0</v>
      </c>
      <c r="S462" s="415">
        <v>0</v>
      </c>
      <c r="T462" s="415">
        <v>0</v>
      </c>
      <c r="U462" s="415">
        <v>0.3446202325126092</v>
      </c>
      <c r="V462" s="421"/>
    </row>
    <row r="463" spans="1:22">
      <c r="A463" s="416"/>
      <c r="B463" s="417" t="s">
        <v>612</v>
      </c>
      <c r="C463" s="418">
        <v>0.27208009328754856</v>
      </c>
      <c r="D463" s="419">
        <v>0.3970163340781262</v>
      </c>
      <c r="E463" s="419">
        <v>0.53739345393839189</v>
      </c>
      <c r="F463" s="419">
        <v>0</v>
      </c>
      <c r="G463" s="419">
        <v>0.90332594235033259</v>
      </c>
      <c r="H463" s="419">
        <v>0</v>
      </c>
      <c r="I463" s="419">
        <v>0</v>
      </c>
      <c r="J463" s="420">
        <v>0.37500495256207467</v>
      </c>
      <c r="K463" s="420">
        <v>0</v>
      </c>
      <c r="L463" s="419">
        <v>0</v>
      </c>
      <c r="M463" s="419">
        <v>0</v>
      </c>
      <c r="N463" s="419">
        <v>0</v>
      </c>
      <c r="O463" s="420">
        <v>0</v>
      </c>
      <c r="P463" s="420">
        <v>0</v>
      </c>
      <c r="Q463" s="419">
        <v>0</v>
      </c>
      <c r="R463" s="420">
        <v>0</v>
      </c>
      <c r="S463" s="420">
        <v>0</v>
      </c>
      <c r="T463" s="420">
        <v>0</v>
      </c>
      <c r="U463" s="420">
        <v>0.37500495256207467</v>
      </c>
      <c r="V463" s="421"/>
    </row>
    <row r="464" spans="1:22">
      <c r="A464" s="416"/>
      <c r="B464" s="422" t="s">
        <v>613</v>
      </c>
      <c r="C464" s="423">
        <v>2.7507403034230049</v>
      </c>
      <c r="D464" s="424">
        <v>3.2181888073162468</v>
      </c>
      <c r="E464" s="424">
        <v>2.5640037819889883</v>
      </c>
      <c r="F464" s="424">
        <v>0</v>
      </c>
      <c r="G464" s="424">
        <v>5.0951790261792755</v>
      </c>
      <c r="H464" s="424">
        <v>0</v>
      </c>
      <c r="I464" s="424">
        <v>0</v>
      </c>
      <c r="J464" s="426">
        <v>3.0384720049465463</v>
      </c>
      <c r="K464" s="426">
        <v>0</v>
      </c>
      <c r="L464" s="424">
        <v>0</v>
      </c>
      <c r="M464" s="424">
        <v>0</v>
      </c>
      <c r="N464" s="424">
        <v>0</v>
      </c>
      <c r="O464" s="426">
        <v>0</v>
      </c>
      <c r="P464" s="426">
        <v>0</v>
      </c>
      <c r="Q464" s="424">
        <v>0</v>
      </c>
      <c r="R464" s="426">
        <v>0</v>
      </c>
      <c r="S464" s="426">
        <v>0</v>
      </c>
      <c r="T464" s="426">
        <v>0</v>
      </c>
      <c r="U464" s="426">
        <v>3.0384720049465463</v>
      </c>
      <c r="V464" s="421"/>
    </row>
    <row r="465" spans="1:22">
      <c r="A465" s="416"/>
      <c r="B465" s="394" t="s">
        <v>614</v>
      </c>
      <c r="C465" s="413">
        <v>1.0907504363001745E-3</v>
      </c>
      <c r="D465" s="414">
        <v>2.3087134694191663E-3</v>
      </c>
      <c r="E465" s="414">
        <v>0</v>
      </c>
      <c r="F465" s="414">
        <v>0</v>
      </c>
      <c r="G465" s="414">
        <v>0</v>
      </c>
      <c r="H465" s="414">
        <v>0</v>
      </c>
      <c r="I465" s="414">
        <v>0</v>
      </c>
      <c r="J465" s="415">
        <v>1.2585887025348909E-3</v>
      </c>
      <c r="K465" s="415">
        <v>0</v>
      </c>
      <c r="L465" s="414">
        <v>0</v>
      </c>
      <c r="M465" s="414">
        <v>0</v>
      </c>
      <c r="N465" s="414">
        <v>0</v>
      </c>
      <c r="O465" s="415">
        <v>0</v>
      </c>
      <c r="P465" s="415">
        <v>0</v>
      </c>
      <c r="Q465" s="414">
        <v>0</v>
      </c>
      <c r="R465" s="415">
        <v>0</v>
      </c>
      <c r="S465" s="415">
        <v>0</v>
      </c>
      <c r="T465" s="415">
        <v>0</v>
      </c>
      <c r="U465" s="415">
        <v>1.2585887025348909E-3</v>
      </c>
      <c r="V465" s="421"/>
    </row>
    <row r="466" spans="1:22">
      <c r="A466" s="416"/>
      <c r="B466" s="417" t="s">
        <v>615</v>
      </c>
      <c r="C466" s="418">
        <v>1.7201502393392562E-3</v>
      </c>
      <c r="D466" s="419">
        <v>3.1782109561599506E-3</v>
      </c>
      <c r="E466" s="419">
        <v>0</v>
      </c>
      <c r="F466" s="419">
        <v>0</v>
      </c>
      <c r="G466" s="419">
        <v>0</v>
      </c>
      <c r="H466" s="419">
        <v>0</v>
      </c>
      <c r="I466" s="419">
        <v>0</v>
      </c>
      <c r="J466" s="420">
        <v>1.8194951129641313E-3</v>
      </c>
      <c r="K466" s="420">
        <v>0</v>
      </c>
      <c r="L466" s="419">
        <v>0</v>
      </c>
      <c r="M466" s="419">
        <v>0</v>
      </c>
      <c r="N466" s="419">
        <v>0</v>
      </c>
      <c r="O466" s="420">
        <v>0</v>
      </c>
      <c r="P466" s="420">
        <v>0</v>
      </c>
      <c r="Q466" s="419">
        <v>0</v>
      </c>
      <c r="R466" s="420">
        <v>0</v>
      </c>
      <c r="S466" s="420">
        <v>0</v>
      </c>
      <c r="T466" s="420">
        <v>0</v>
      </c>
      <c r="U466" s="420">
        <v>1.8194951129641313E-3</v>
      </c>
      <c r="V466" s="421"/>
    </row>
    <row r="467" spans="1:22">
      <c r="A467" s="416"/>
      <c r="B467" s="422" t="s">
        <v>616</v>
      </c>
      <c r="C467" s="423">
        <v>6.2939980303908169E-2</v>
      </c>
      <c r="D467" s="424">
        <v>8.6949748674078425E-2</v>
      </c>
      <c r="E467" s="424">
        <v>0</v>
      </c>
      <c r="F467" s="424">
        <v>0</v>
      </c>
      <c r="G467" s="424">
        <v>0</v>
      </c>
      <c r="H467" s="424">
        <v>0</v>
      </c>
      <c r="I467" s="424">
        <v>0</v>
      </c>
      <c r="J467" s="426">
        <v>5.6090641042924043E-2</v>
      </c>
      <c r="K467" s="426">
        <v>0</v>
      </c>
      <c r="L467" s="424">
        <v>0</v>
      </c>
      <c r="M467" s="424">
        <v>0</v>
      </c>
      <c r="N467" s="424">
        <v>0</v>
      </c>
      <c r="O467" s="426">
        <v>0</v>
      </c>
      <c r="P467" s="426">
        <v>0</v>
      </c>
      <c r="Q467" s="424">
        <v>0</v>
      </c>
      <c r="R467" s="426">
        <v>0</v>
      </c>
      <c r="S467" s="426">
        <v>0</v>
      </c>
      <c r="T467" s="426">
        <v>0</v>
      </c>
      <c r="U467" s="426">
        <v>5.6090641042924043E-2</v>
      </c>
      <c r="V467" s="421"/>
    </row>
    <row r="468" spans="1:22">
      <c r="A468" s="416"/>
      <c r="B468" s="394" t="s">
        <v>617</v>
      </c>
      <c r="C468" s="413">
        <v>2.9377545084351368E-2</v>
      </c>
      <c r="D468" s="414">
        <v>2.7387113530984858E-2</v>
      </c>
      <c r="E468" s="414">
        <v>4.0829382720099734E-2</v>
      </c>
      <c r="F468" s="414">
        <v>0</v>
      </c>
      <c r="G468" s="414">
        <v>5.355230274901821E-4</v>
      </c>
      <c r="H468" s="414">
        <v>0</v>
      </c>
      <c r="I468" s="414">
        <v>0</v>
      </c>
      <c r="J468" s="415">
        <v>3.040190932567614E-2</v>
      </c>
      <c r="K468" s="415">
        <v>0</v>
      </c>
      <c r="L468" s="414">
        <v>0</v>
      </c>
      <c r="M468" s="414">
        <v>0</v>
      </c>
      <c r="N468" s="414">
        <v>0</v>
      </c>
      <c r="O468" s="415">
        <v>0</v>
      </c>
      <c r="P468" s="415">
        <v>0</v>
      </c>
      <c r="Q468" s="414">
        <v>0</v>
      </c>
      <c r="R468" s="415">
        <v>0</v>
      </c>
      <c r="S468" s="415">
        <v>0</v>
      </c>
      <c r="T468" s="415">
        <v>0</v>
      </c>
      <c r="U468" s="415">
        <v>3.040190932567614E-2</v>
      </c>
      <c r="V468" s="421"/>
    </row>
    <row r="469" spans="1:22">
      <c r="A469" s="416"/>
      <c r="B469" s="417" t="s">
        <v>618</v>
      </c>
      <c r="C469" s="418">
        <v>2.5409260464247289E-2</v>
      </c>
      <c r="D469" s="419">
        <v>2.830533939440635E-2</v>
      </c>
      <c r="E469" s="419">
        <v>4.9504791562996614E-2</v>
      </c>
      <c r="F469" s="419">
        <v>0</v>
      </c>
      <c r="G469" s="419">
        <v>0</v>
      </c>
      <c r="H469" s="419">
        <v>0</v>
      </c>
      <c r="I469" s="419">
        <v>0</v>
      </c>
      <c r="J469" s="420">
        <v>3.0376729968029308E-2</v>
      </c>
      <c r="K469" s="420">
        <v>0</v>
      </c>
      <c r="L469" s="419">
        <v>0</v>
      </c>
      <c r="M469" s="419">
        <v>0</v>
      </c>
      <c r="N469" s="419">
        <v>0</v>
      </c>
      <c r="O469" s="420">
        <v>0</v>
      </c>
      <c r="P469" s="420">
        <v>0</v>
      </c>
      <c r="Q469" s="419">
        <v>0</v>
      </c>
      <c r="R469" s="420">
        <v>0</v>
      </c>
      <c r="S469" s="420">
        <v>0</v>
      </c>
      <c r="T469" s="420">
        <v>0</v>
      </c>
      <c r="U469" s="420">
        <v>3.0376729968029308E-2</v>
      </c>
      <c r="V469" s="421"/>
    </row>
    <row r="470" spans="1:22">
      <c r="A470" s="416"/>
      <c r="B470" s="422" t="s">
        <v>619</v>
      </c>
      <c r="C470" s="423">
        <v>-0.39682846201040783</v>
      </c>
      <c r="D470" s="424">
        <v>9.1822586342149223E-2</v>
      </c>
      <c r="E470" s="424">
        <v>0.86754088428968801</v>
      </c>
      <c r="F470" s="424">
        <v>0</v>
      </c>
      <c r="G470" s="424">
        <v>-5.3552302749018212E-2</v>
      </c>
      <c r="H470" s="424">
        <v>0</v>
      </c>
      <c r="I470" s="424">
        <v>0</v>
      </c>
      <c r="J470" s="426">
        <v>-2.5179357646832462E-3</v>
      </c>
      <c r="K470" s="426">
        <v>0</v>
      </c>
      <c r="L470" s="424">
        <v>0</v>
      </c>
      <c r="M470" s="424">
        <v>0</v>
      </c>
      <c r="N470" s="424">
        <v>0</v>
      </c>
      <c r="O470" s="426">
        <v>0</v>
      </c>
      <c r="P470" s="426">
        <v>0</v>
      </c>
      <c r="Q470" s="424">
        <v>0</v>
      </c>
      <c r="R470" s="426">
        <v>0</v>
      </c>
      <c r="S470" s="426">
        <v>0</v>
      </c>
      <c r="T470" s="426">
        <v>0</v>
      </c>
      <c r="U470" s="426">
        <v>-2.5179357646832462E-3</v>
      </c>
      <c r="V470" s="421"/>
    </row>
    <row r="471" spans="1:22">
      <c r="A471" s="416"/>
      <c r="B471" s="394" t="s">
        <v>620</v>
      </c>
      <c r="C471" s="413">
        <v>3.5148606483685015E-2</v>
      </c>
      <c r="D471" s="414">
        <v>4.3586586374742678E-2</v>
      </c>
      <c r="E471" s="414">
        <v>2.7788258066632765E-2</v>
      </c>
      <c r="F471" s="414">
        <v>0</v>
      </c>
      <c r="G471" s="414">
        <v>0</v>
      </c>
      <c r="H471" s="414">
        <v>0</v>
      </c>
      <c r="I471" s="414">
        <v>0</v>
      </c>
      <c r="J471" s="415">
        <v>3.5868224209031387E-2</v>
      </c>
      <c r="K471" s="415">
        <v>0</v>
      </c>
      <c r="L471" s="414">
        <v>0</v>
      </c>
      <c r="M471" s="414">
        <v>0</v>
      </c>
      <c r="N471" s="414">
        <v>0</v>
      </c>
      <c r="O471" s="415">
        <v>0</v>
      </c>
      <c r="P471" s="415">
        <v>0</v>
      </c>
      <c r="Q471" s="414">
        <v>0</v>
      </c>
      <c r="R471" s="415">
        <v>0</v>
      </c>
      <c r="S471" s="415">
        <v>0</v>
      </c>
      <c r="T471" s="415">
        <v>0</v>
      </c>
      <c r="U471" s="415">
        <v>3.5868224209031387E-2</v>
      </c>
      <c r="V471" s="421"/>
    </row>
    <row r="472" spans="1:22">
      <c r="A472" s="416"/>
      <c r="B472" s="417" t="s">
        <v>621</v>
      </c>
      <c r="C472" s="418">
        <v>3.4634935156134236E-2</v>
      </c>
      <c r="D472" s="419">
        <v>4.4032668156252411E-2</v>
      </c>
      <c r="E472" s="419">
        <v>2.5169751352392571E-2</v>
      </c>
      <c r="F472" s="419">
        <v>0</v>
      </c>
      <c r="G472" s="419">
        <v>0</v>
      </c>
      <c r="H472" s="419">
        <v>0</v>
      </c>
      <c r="I472" s="419">
        <v>0</v>
      </c>
      <c r="J472" s="420">
        <v>3.5097664524112122E-2</v>
      </c>
      <c r="K472" s="420">
        <v>0</v>
      </c>
      <c r="L472" s="419">
        <v>0</v>
      </c>
      <c r="M472" s="419">
        <v>0</v>
      </c>
      <c r="N472" s="419">
        <v>0</v>
      </c>
      <c r="O472" s="420">
        <v>0</v>
      </c>
      <c r="P472" s="420">
        <v>0</v>
      </c>
      <c r="Q472" s="419">
        <v>0</v>
      </c>
      <c r="R472" s="420">
        <v>0</v>
      </c>
      <c r="S472" s="420">
        <v>0</v>
      </c>
      <c r="T472" s="420">
        <v>0</v>
      </c>
      <c r="U472" s="420">
        <v>3.5097664524112122E-2</v>
      </c>
      <c r="V472" s="421"/>
    </row>
    <row r="473" spans="1:22" ht="15" thickBot="1">
      <c r="A473" s="432"/>
      <c r="B473" s="433" t="s">
        <v>622</v>
      </c>
      <c r="C473" s="434">
        <v>-5.1367132755077843E-2</v>
      </c>
      <c r="D473" s="435">
        <v>4.4608178150973288E-2</v>
      </c>
      <c r="E473" s="435">
        <v>-0.26185067142401941</v>
      </c>
      <c r="F473" s="435">
        <v>0</v>
      </c>
      <c r="G473" s="435">
        <v>0</v>
      </c>
      <c r="H473" s="435">
        <v>0</v>
      </c>
      <c r="I473" s="435">
        <v>0</v>
      </c>
      <c r="J473" s="436">
        <v>-7.7055968491926419E-2</v>
      </c>
      <c r="K473" s="436">
        <v>0</v>
      </c>
      <c r="L473" s="435">
        <v>0</v>
      </c>
      <c r="M473" s="435">
        <v>0</v>
      </c>
      <c r="N473" s="435">
        <v>0</v>
      </c>
      <c r="O473" s="436">
        <v>0</v>
      </c>
      <c r="P473" s="436">
        <v>0</v>
      </c>
      <c r="Q473" s="435">
        <v>0</v>
      </c>
      <c r="R473" s="436">
        <v>0</v>
      </c>
      <c r="S473" s="436">
        <v>0</v>
      </c>
      <c r="T473" s="436">
        <v>0</v>
      </c>
      <c r="U473" s="436">
        <v>-7.7055968491926419E-2</v>
      </c>
      <c r="V473" s="421"/>
    </row>
    <row r="474" spans="1:22">
      <c r="A474" s="412" t="s">
        <v>484</v>
      </c>
      <c r="B474" s="394" t="s">
        <v>587</v>
      </c>
      <c r="C474" s="413">
        <v>0</v>
      </c>
      <c r="D474" s="414">
        <v>0</v>
      </c>
      <c r="E474" s="414">
        <v>0</v>
      </c>
      <c r="F474" s="414">
        <v>0</v>
      </c>
      <c r="G474" s="414">
        <v>0</v>
      </c>
      <c r="H474" s="414">
        <v>0</v>
      </c>
      <c r="I474" s="414">
        <v>0</v>
      </c>
      <c r="J474" s="415">
        <v>0</v>
      </c>
      <c r="K474" s="415">
        <v>0</v>
      </c>
      <c r="L474" s="414">
        <v>0</v>
      </c>
      <c r="M474" s="414">
        <v>0</v>
      </c>
      <c r="N474" s="414">
        <v>0</v>
      </c>
      <c r="O474" s="415">
        <v>0</v>
      </c>
      <c r="P474" s="415">
        <v>0</v>
      </c>
      <c r="Q474" s="414">
        <v>0</v>
      </c>
      <c r="R474" s="415">
        <v>0</v>
      </c>
      <c r="S474" s="415">
        <v>0</v>
      </c>
      <c r="T474" s="415">
        <v>0</v>
      </c>
      <c r="U474" s="415">
        <v>0</v>
      </c>
      <c r="V474" s="421"/>
    </row>
    <row r="475" spans="1:22">
      <c r="A475" s="416"/>
      <c r="B475" s="417" t="s">
        <v>588</v>
      </c>
      <c r="C475" s="418">
        <v>0</v>
      </c>
      <c r="D475" s="419">
        <v>0</v>
      </c>
      <c r="E475" s="419">
        <v>0</v>
      </c>
      <c r="F475" s="419">
        <v>0</v>
      </c>
      <c r="G475" s="419">
        <v>0</v>
      </c>
      <c r="H475" s="419">
        <v>0</v>
      </c>
      <c r="I475" s="419">
        <v>0</v>
      </c>
      <c r="J475" s="420">
        <v>0</v>
      </c>
      <c r="K475" s="420">
        <v>0</v>
      </c>
      <c r="L475" s="419">
        <v>0</v>
      </c>
      <c r="M475" s="419">
        <v>0</v>
      </c>
      <c r="N475" s="419">
        <v>0</v>
      </c>
      <c r="O475" s="420">
        <v>0</v>
      </c>
      <c r="P475" s="420">
        <v>0</v>
      </c>
      <c r="Q475" s="419">
        <v>0</v>
      </c>
      <c r="R475" s="420">
        <v>0</v>
      </c>
      <c r="S475" s="420">
        <v>0</v>
      </c>
      <c r="T475" s="420">
        <v>0</v>
      </c>
      <c r="U475" s="420">
        <v>0</v>
      </c>
      <c r="V475" s="421"/>
    </row>
    <row r="476" spans="1:22">
      <c r="A476" s="416"/>
      <c r="B476" s="422" t="s">
        <v>589</v>
      </c>
      <c r="C476" s="423">
        <v>0</v>
      </c>
      <c r="D476" s="424">
        <v>0</v>
      </c>
      <c r="E476" s="424">
        <v>0</v>
      </c>
      <c r="F476" s="424">
        <v>0</v>
      </c>
      <c r="G476" s="424">
        <v>0</v>
      </c>
      <c r="H476" s="424">
        <v>0</v>
      </c>
      <c r="I476" s="424">
        <v>0</v>
      </c>
      <c r="J476" s="426">
        <v>0</v>
      </c>
      <c r="K476" s="426">
        <v>0</v>
      </c>
      <c r="L476" s="424">
        <v>0</v>
      </c>
      <c r="M476" s="424">
        <v>0</v>
      </c>
      <c r="N476" s="424">
        <v>0</v>
      </c>
      <c r="O476" s="426">
        <v>0</v>
      </c>
      <c r="P476" s="426">
        <v>0</v>
      </c>
      <c r="Q476" s="424">
        <v>0</v>
      </c>
      <c r="R476" s="426">
        <v>0</v>
      </c>
      <c r="S476" s="426">
        <v>0</v>
      </c>
      <c r="T476" s="426">
        <v>0</v>
      </c>
      <c r="U476" s="426">
        <v>0</v>
      </c>
      <c r="V476" s="421"/>
    </row>
    <row r="477" spans="1:22">
      <c r="A477" s="416"/>
      <c r="B477" s="394" t="s">
        <v>590</v>
      </c>
      <c r="C477" s="413">
        <v>0</v>
      </c>
      <c r="D477" s="414">
        <v>0</v>
      </c>
      <c r="E477" s="414">
        <v>0</v>
      </c>
      <c r="F477" s="414">
        <v>0</v>
      </c>
      <c r="G477" s="414">
        <v>0</v>
      </c>
      <c r="H477" s="414">
        <v>0</v>
      </c>
      <c r="I477" s="414">
        <v>0</v>
      </c>
      <c r="J477" s="415">
        <v>0</v>
      </c>
      <c r="K477" s="415">
        <v>0</v>
      </c>
      <c r="L477" s="414">
        <v>0</v>
      </c>
      <c r="M477" s="414">
        <v>0</v>
      </c>
      <c r="N477" s="414">
        <v>0</v>
      </c>
      <c r="O477" s="415">
        <v>0</v>
      </c>
      <c r="P477" s="415">
        <v>0</v>
      </c>
      <c r="Q477" s="414">
        <v>0</v>
      </c>
      <c r="R477" s="415">
        <v>0</v>
      </c>
      <c r="S477" s="415">
        <v>0</v>
      </c>
      <c r="T477" s="415">
        <v>0</v>
      </c>
      <c r="U477" s="415">
        <v>0</v>
      </c>
      <c r="V477" s="421"/>
    </row>
    <row r="478" spans="1:22">
      <c r="A478" s="416"/>
      <c r="B478" s="417" t="s">
        <v>591</v>
      </c>
      <c r="C478" s="418">
        <v>0</v>
      </c>
      <c r="D478" s="419">
        <v>0</v>
      </c>
      <c r="E478" s="419">
        <v>0</v>
      </c>
      <c r="F478" s="419">
        <v>0</v>
      </c>
      <c r="G478" s="419">
        <v>0</v>
      </c>
      <c r="H478" s="419">
        <v>0</v>
      </c>
      <c r="I478" s="419">
        <v>0</v>
      </c>
      <c r="J478" s="420">
        <v>0</v>
      </c>
      <c r="K478" s="420">
        <v>0</v>
      </c>
      <c r="L478" s="419">
        <v>0</v>
      </c>
      <c r="M478" s="419">
        <v>0</v>
      </c>
      <c r="N478" s="419">
        <v>0</v>
      </c>
      <c r="O478" s="420">
        <v>0</v>
      </c>
      <c r="P478" s="420">
        <v>0</v>
      </c>
      <c r="Q478" s="419">
        <v>0</v>
      </c>
      <c r="R478" s="420">
        <v>0</v>
      </c>
      <c r="S478" s="420">
        <v>0</v>
      </c>
      <c r="T478" s="420">
        <v>0</v>
      </c>
      <c r="U478" s="420">
        <v>0</v>
      </c>
      <c r="V478" s="421"/>
    </row>
    <row r="479" spans="1:22">
      <c r="A479" s="416"/>
      <c r="B479" s="422" t="s">
        <v>592</v>
      </c>
      <c r="C479" s="423">
        <v>0</v>
      </c>
      <c r="D479" s="424">
        <v>0</v>
      </c>
      <c r="E479" s="424">
        <v>0</v>
      </c>
      <c r="F479" s="424">
        <v>0</v>
      </c>
      <c r="G479" s="424">
        <v>0</v>
      </c>
      <c r="H479" s="424">
        <v>0</v>
      </c>
      <c r="I479" s="424">
        <v>0</v>
      </c>
      <c r="J479" s="426">
        <v>0</v>
      </c>
      <c r="K479" s="426">
        <v>0</v>
      </c>
      <c r="L479" s="424">
        <v>0</v>
      </c>
      <c r="M479" s="424">
        <v>0</v>
      </c>
      <c r="N479" s="424">
        <v>0</v>
      </c>
      <c r="O479" s="426">
        <v>0</v>
      </c>
      <c r="P479" s="426">
        <v>0</v>
      </c>
      <c r="Q479" s="424">
        <v>0</v>
      </c>
      <c r="R479" s="426">
        <v>0</v>
      </c>
      <c r="S479" s="426">
        <v>0</v>
      </c>
      <c r="T479" s="426">
        <v>0</v>
      </c>
      <c r="U479" s="426">
        <v>0</v>
      </c>
      <c r="V479" s="421"/>
    </row>
    <row r="480" spans="1:22">
      <c r="A480" s="416"/>
      <c r="B480" s="394" t="s">
        <v>593</v>
      </c>
      <c r="C480" s="413">
        <v>0</v>
      </c>
      <c r="D480" s="414">
        <v>0</v>
      </c>
      <c r="E480" s="414">
        <v>0</v>
      </c>
      <c r="F480" s="414">
        <v>0</v>
      </c>
      <c r="G480" s="414">
        <v>0</v>
      </c>
      <c r="H480" s="414">
        <v>0</v>
      </c>
      <c r="I480" s="414">
        <v>0</v>
      </c>
      <c r="J480" s="415">
        <v>0</v>
      </c>
      <c r="K480" s="415">
        <v>0</v>
      </c>
      <c r="L480" s="414">
        <v>0</v>
      </c>
      <c r="M480" s="414">
        <v>0</v>
      </c>
      <c r="N480" s="414">
        <v>0</v>
      </c>
      <c r="O480" s="415">
        <v>0</v>
      </c>
      <c r="P480" s="415">
        <v>0</v>
      </c>
      <c r="Q480" s="414">
        <v>0</v>
      </c>
      <c r="R480" s="415">
        <v>0</v>
      </c>
      <c r="S480" s="415">
        <v>0</v>
      </c>
      <c r="T480" s="415">
        <v>0</v>
      </c>
      <c r="U480" s="415">
        <v>0</v>
      </c>
      <c r="V480" s="421"/>
    </row>
    <row r="481" spans="1:22">
      <c r="A481" s="416"/>
      <c r="B481" s="417" t="s">
        <v>594</v>
      </c>
      <c r="C481" s="418">
        <v>0</v>
      </c>
      <c r="D481" s="419">
        <v>0</v>
      </c>
      <c r="E481" s="419">
        <v>0</v>
      </c>
      <c r="F481" s="419">
        <v>0</v>
      </c>
      <c r="G481" s="419">
        <v>0</v>
      </c>
      <c r="H481" s="419">
        <v>0</v>
      </c>
      <c r="I481" s="419">
        <v>0</v>
      </c>
      <c r="J481" s="420">
        <v>0</v>
      </c>
      <c r="K481" s="420">
        <v>0</v>
      </c>
      <c r="L481" s="419">
        <v>0</v>
      </c>
      <c r="M481" s="419">
        <v>0</v>
      </c>
      <c r="N481" s="419">
        <v>0</v>
      </c>
      <c r="O481" s="420">
        <v>0</v>
      </c>
      <c r="P481" s="420">
        <v>0</v>
      </c>
      <c r="Q481" s="419">
        <v>0</v>
      </c>
      <c r="R481" s="420">
        <v>0</v>
      </c>
      <c r="S481" s="420">
        <v>0</v>
      </c>
      <c r="T481" s="420">
        <v>0</v>
      </c>
      <c r="U481" s="420">
        <v>0</v>
      </c>
      <c r="V481" s="421"/>
    </row>
    <row r="482" spans="1:22">
      <c r="A482" s="416"/>
      <c r="B482" s="422" t="s">
        <v>595</v>
      </c>
      <c r="C482" s="423">
        <v>0</v>
      </c>
      <c r="D482" s="424">
        <v>0</v>
      </c>
      <c r="E482" s="424">
        <v>0</v>
      </c>
      <c r="F482" s="424">
        <v>0</v>
      </c>
      <c r="G482" s="424">
        <v>0</v>
      </c>
      <c r="H482" s="424">
        <v>0</v>
      </c>
      <c r="I482" s="424">
        <v>0</v>
      </c>
      <c r="J482" s="426">
        <v>0</v>
      </c>
      <c r="K482" s="426">
        <v>0</v>
      </c>
      <c r="L482" s="424">
        <v>0</v>
      </c>
      <c r="M482" s="424">
        <v>0</v>
      </c>
      <c r="N482" s="424">
        <v>0</v>
      </c>
      <c r="O482" s="426">
        <v>0</v>
      </c>
      <c r="P482" s="426">
        <v>0</v>
      </c>
      <c r="Q482" s="424">
        <v>0</v>
      </c>
      <c r="R482" s="426">
        <v>0</v>
      </c>
      <c r="S482" s="426">
        <v>0</v>
      </c>
      <c r="T482" s="426">
        <v>0</v>
      </c>
      <c r="U482" s="426">
        <v>0</v>
      </c>
      <c r="V482" s="421"/>
    </row>
    <row r="483" spans="1:22">
      <c r="A483" s="416"/>
      <c r="B483" s="394" t="s">
        <v>596</v>
      </c>
      <c r="C483" s="413">
        <v>0</v>
      </c>
      <c r="D483" s="414">
        <v>0</v>
      </c>
      <c r="E483" s="414">
        <v>0</v>
      </c>
      <c r="F483" s="414">
        <v>0</v>
      </c>
      <c r="G483" s="414">
        <v>0</v>
      </c>
      <c r="H483" s="414">
        <v>0</v>
      </c>
      <c r="I483" s="414">
        <v>0</v>
      </c>
      <c r="J483" s="415">
        <v>0</v>
      </c>
      <c r="K483" s="415">
        <v>0</v>
      </c>
      <c r="L483" s="414">
        <v>0</v>
      </c>
      <c r="M483" s="414">
        <v>0</v>
      </c>
      <c r="N483" s="414">
        <v>0</v>
      </c>
      <c r="O483" s="415">
        <v>0</v>
      </c>
      <c r="P483" s="415">
        <v>0</v>
      </c>
      <c r="Q483" s="414">
        <v>0</v>
      </c>
      <c r="R483" s="415">
        <v>0</v>
      </c>
      <c r="S483" s="415">
        <v>0</v>
      </c>
      <c r="T483" s="415">
        <v>0</v>
      </c>
      <c r="U483" s="415">
        <v>0</v>
      </c>
      <c r="V483" s="421"/>
    </row>
    <row r="484" spans="1:22">
      <c r="A484" s="416"/>
      <c r="B484" s="417" t="s">
        <v>597</v>
      </c>
      <c r="C484" s="418">
        <v>0</v>
      </c>
      <c r="D484" s="419">
        <v>0</v>
      </c>
      <c r="E484" s="419">
        <v>0</v>
      </c>
      <c r="F484" s="419">
        <v>0</v>
      </c>
      <c r="G484" s="419">
        <v>0</v>
      </c>
      <c r="H484" s="419">
        <v>0</v>
      </c>
      <c r="I484" s="419">
        <v>0</v>
      </c>
      <c r="J484" s="420">
        <v>0</v>
      </c>
      <c r="K484" s="420">
        <v>0</v>
      </c>
      <c r="L484" s="419">
        <v>0</v>
      </c>
      <c r="M484" s="419">
        <v>0</v>
      </c>
      <c r="N484" s="419">
        <v>0</v>
      </c>
      <c r="O484" s="420">
        <v>0</v>
      </c>
      <c r="P484" s="420">
        <v>0</v>
      </c>
      <c r="Q484" s="419">
        <v>0</v>
      </c>
      <c r="R484" s="420">
        <v>0</v>
      </c>
      <c r="S484" s="420">
        <v>0</v>
      </c>
      <c r="T484" s="420">
        <v>0</v>
      </c>
      <c r="U484" s="420">
        <v>0</v>
      </c>
      <c r="V484" s="421"/>
    </row>
    <row r="485" spans="1:22">
      <c r="A485" s="416"/>
      <c r="B485" s="422" t="s">
        <v>598</v>
      </c>
      <c r="C485" s="423">
        <v>0</v>
      </c>
      <c r="D485" s="424">
        <v>0</v>
      </c>
      <c r="E485" s="424">
        <v>0</v>
      </c>
      <c r="F485" s="424">
        <v>0</v>
      </c>
      <c r="G485" s="424">
        <v>0</v>
      </c>
      <c r="H485" s="424">
        <v>0</v>
      </c>
      <c r="I485" s="424">
        <v>0</v>
      </c>
      <c r="J485" s="426">
        <v>0</v>
      </c>
      <c r="K485" s="426">
        <v>0</v>
      </c>
      <c r="L485" s="424">
        <v>0</v>
      </c>
      <c r="M485" s="424">
        <v>0</v>
      </c>
      <c r="N485" s="424">
        <v>0</v>
      </c>
      <c r="O485" s="426">
        <v>0</v>
      </c>
      <c r="P485" s="426">
        <v>0</v>
      </c>
      <c r="Q485" s="424">
        <v>0</v>
      </c>
      <c r="R485" s="426">
        <v>0</v>
      </c>
      <c r="S485" s="426">
        <v>0</v>
      </c>
      <c r="T485" s="426">
        <v>0</v>
      </c>
      <c r="U485" s="426">
        <v>0</v>
      </c>
      <c r="V485" s="421"/>
    </row>
    <row r="486" spans="1:22">
      <c r="A486" s="416"/>
      <c r="B486" s="394" t="s">
        <v>599</v>
      </c>
      <c r="C486" s="413">
        <v>0</v>
      </c>
      <c r="D486" s="414">
        <v>0</v>
      </c>
      <c r="E486" s="414">
        <v>0</v>
      </c>
      <c r="F486" s="414">
        <v>0</v>
      </c>
      <c r="G486" s="414">
        <v>0</v>
      </c>
      <c r="H486" s="414">
        <v>0</v>
      </c>
      <c r="I486" s="414">
        <v>0</v>
      </c>
      <c r="J486" s="415">
        <v>0</v>
      </c>
      <c r="K486" s="415">
        <v>0</v>
      </c>
      <c r="L486" s="414">
        <v>0</v>
      </c>
      <c r="M486" s="414">
        <v>0</v>
      </c>
      <c r="N486" s="414">
        <v>0</v>
      </c>
      <c r="O486" s="415">
        <v>0</v>
      </c>
      <c r="P486" s="415">
        <v>0</v>
      </c>
      <c r="Q486" s="414">
        <v>0</v>
      </c>
      <c r="R486" s="415">
        <v>0</v>
      </c>
      <c r="S486" s="415">
        <v>0</v>
      </c>
      <c r="T486" s="415">
        <v>0</v>
      </c>
      <c r="U486" s="415">
        <v>0</v>
      </c>
      <c r="V486" s="421"/>
    </row>
    <row r="487" spans="1:22">
      <c r="A487" s="416"/>
      <c r="B487" s="417" t="s">
        <v>600</v>
      </c>
      <c r="C487" s="418">
        <v>0</v>
      </c>
      <c r="D487" s="419">
        <v>0</v>
      </c>
      <c r="E487" s="419">
        <v>0</v>
      </c>
      <c r="F487" s="419">
        <v>0</v>
      </c>
      <c r="G487" s="419">
        <v>0</v>
      </c>
      <c r="H487" s="419">
        <v>0</v>
      </c>
      <c r="I487" s="419">
        <v>0</v>
      </c>
      <c r="J487" s="420">
        <v>0</v>
      </c>
      <c r="K487" s="420">
        <v>0</v>
      </c>
      <c r="L487" s="419">
        <v>0</v>
      </c>
      <c r="M487" s="419">
        <v>0</v>
      </c>
      <c r="N487" s="419">
        <v>0</v>
      </c>
      <c r="O487" s="420">
        <v>0</v>
      </c>
      <c r="P487" s="420">
        <v>0</v>
      </c>
      <c r="Q487" s="419">
        <v>0</v>
      </c>
      <c r="R487" s="420">
        <v>0</v>
      </c>
      <c r="S487" s="420">
        <v>0</v>
      </c>
      <c r="T487" s="420">
        <v>0</v>
      </c>
      <c r="U487" s="420">
        <v>0</v>
      </c>
      <c r="V487" s="421"/>
    </row>
    <row r="488" spans="1:22">
      <c r="A488" s="416"/>
      <c r="B488" s="422" t="s">
        <v>601</v>
      </c>
      <c r="C488" s="423">
        <v>0</v>
      </c>
      <c r="D488" s="424">
        <v>0</v>
      </c>
      <c r="E488" s="424">
        <v>0</v>
      </c>
      <c r="F488" s="424">
        <v>0</v>
      </c>
      <c r="G488" s="424">
        <v>0</v>
      </c>
      <c r="H488" s="424">
        <v>0</v>
      </c>
      <c r="I488" s="424">
        <v>0</v>
      </c>
      <c r="J488" s="426">
        <v>0</v>
      </c>
      <c r="K488" s="426">
        <v>0</v>
      </c>
      <c r="L488" s="424">
        <v>0</v>
      </c>
      <c r="M488" s="424">
        <v>0</v>
      </c>
      <c r="N488" s="424">
        <v>0</v>
      </c>
      <c r="O488" s="426">
        <v>0</v>
      </c>
      <c r="P488" s="426">
        <v>0</v>
      </c>
      <c r="Q488" s="424">
        <v>0</v>
      </c>
      <c r="R488" s="426">
        <v>0</v>
      </c>
      <c r="S488" s="426">
        <v>0</v>
      </c>
      <c r="T488" s="426">
        <v>0</v>
      </c>
      <c r="U488" s="426">
        <v>0</v>
      </c>
      <c r="V488" s="421"/>
    </row>
    <row r="489" spans="1:22">
      <c r="A489" s="416"/>
      <c r="B489" s="394" t="s">
        <v>602</v>
      </c>
      <c r="C489" s="413">
        <v>0</v>
      </c>
      <c r="D489" s="414">
        <v>0</v>
      </c>
      <c r="E489" s="414">
        <v>0</v>
      </c>
      <c r="F489" s="414">
        <v>0</v>
      </c>
      <c r="G489" s="414">
        <v>0</v>
      </c>
      <c r="H489" s="414">
        <v>0</v>
      </c>
      <c r="I489" s="414">
        <v>0</v>
      </c>
      <c r="J489" s="415">
        <v>0</v>
      </c>
      <c r="K489" s="415">
        <v>0</v>
      </c>
      <c r="L489" s="414">
        <v>0</v>
      </c>
      <c r="M489" s="414">
        <v>0</v>
      </c>
      <c r="N489" s="414">
        <v>0</v>
      </c>
      <c r="O489" s="415">
        <v>0</v>
      </c>
      <c r="P489" s="415">
        <v>0</v>
      </c>
      <c r="Q489" s="414">
        <v>0</v>
      </c>
      <c r="R489" s="415">
        <v>0</v>
      </c>
      <c r="S489" s="415">
        <v>0</v>
      </c>
      <c r="T489" s="415">
        <v>0</v>
      </c>
      <c r="U489" s="415">
        <v>0</v>
      </c>
      <c r="V489" s="421"/>
    </row>
    <row r="490" spans="1:22">
      <c r="A490" s="416"/>
      <c r="B490" s="417" t="s">
        <v>603</v>
      </c>
      <c r="C490" s="418">
        <v>0</v>
      </c>
      <c r="D490" s="419">
        <v>0</v>
      </c>
      <c r="E490" s="419">
        <v>0</v>
      </c>
      <c r="F490" s="419">
        <v>0</v>
      </c>
      <c r="G490" s="419">
        <v>0</v>
      </c>
      <c r="H490" s="419">
        <v>0</v>
      </c>
      <c r="I490" s="419">
        <v>0</v>
      </c>
      <c r="J490" s="420">
        <v>0</v>
      </c>
      <c r="K490" s="420">
        <v>0</v>
      </c>
      <c r="L490" s="419">
        <v>0</v>
      </c>
      <c r="M490" s="419">
        <v>0</v>
      </c>
      <c r="N490" s="419">
        <v>0</v>
      </c>
      <c r="O490" s="420">
        <v>0</v>
      </c>
      <c r="P490" s="420">
        <v>0</v>
      </c>
      <c r="Q490" s="419">
        <v>0</v>
      </c>
      <c r="R490" s="420">
        <v>0</v>
      </c>
      <c r="S490" s="420">
        <v>0</v>
      </c>
      <c r="T490" s="420">
        <v>0</v>
      </c>
      <c r="U490" s="420">
        <v>0</v>
      </c>
      <c r="V490" s="421"/>
    </row>
    <row r="491" spans="1:22" ht="15" thickBot="1">
      <c r="A491" s="416"/>
      <c r="B491" s="428" t="s">
        <v>604</v>
      </c>
      <c r="C491" s="429">
        <v>0</v>
      </c>
      <c r="D491" s="430">
        <v>0</v>
      </c>
      <c r="E491" s="430">
        <v>0</v>
      </c>
      <c r="F491" s="430">
        <v>0</v>
      </c>
      <c r="G491" s="430">
        <v>0</v>
      </c>
      <c r="H491" s="430">
        <v>0</v>
      </c>
      <c r="I491" s="430">
        <v>0</v>
      </c>
      <c r="J491" s="431">
        <v>0</v>
      </c>
      <c r="K491" s="431">
        <v>0</v>
      </c>
      <c r="L491" s="430">
        <v>0</v>
      </c>
      <c r="M491" s="430">
        <v>0</v>
      </c>
      <c r="N491" s="430">
        <v>0</v>
      </c>
      <c r="O491" s="431">
        <v>0</v>
      </c>
      <c r="P491" s="431">
        <v>0</v>
      </c>
      <c r="Q491" s="430">
        <v>0</v>
      </c>
      <c r="R491" s="431">
        <v>0</v>
      </c>
      <c r="S491" s="431">
        <v>0</v>
      </c>
      <c r="T491" s="431">
        <v>0</v>
      </c>
      <c r="U491" s="431">
        <v>0</v>
      </c>
      <c r="V491" s="421"/>
    </row>
    <row r="492" spans="1:22" ht="15" thickTop="1">
      <c r="A492" s="416"/>
      <c r="B492" s="417" t="s">
        <v>605</v>
      </c>
      <c r="C492" s="418">
        <v>0</v>
      </c>
      <c r="D492" s="419">
        <v>0</v>
      </c>
      <c r="E492" s="419">
        <v>0</v>
      </c>
      <c r="F492" s="419">
        <v>0</v>
      </c>
      <c r="G492" s="419">
        <v>0</v>
      </c>
      <c r="H492" s="419">
        <v>0</v>
      </c>
      <c r="I492" s="419">
        <v>0</v>
      </c>
      <c r="J492" s="420">
        <v>0</v>
      </c>
      <c r="K492" s="420">
        <v>0</v>
      </c>
      <c r="L492" s="419">
        <v>0</v>
      </c>
      <c r="M492" s="419">
        <v>0</v>
      </c>
      <c r="N492" s="419">
        <v>0</v>
      </c>
      <c r="O492" s="420">
        <v>0</v>
      </c>
      <c r="P492" s="420">
        <v>0</v>
      </c>
      <c r="Q492" s="419">
        <v>0</v>
      </c>
      <c r="R492" s="420">
        <v>0</v>
      </c>
      <c r="S492" s="420">
        <v>0</v>
      </c>
      <c r="T492" s="420">
        <v>0</v>
      </c>
      <c r="U492" s="420">
        <v>0</v>
      </c>
      <c r="V492" s="421"/>
    </row>
    <row r="493" spans="1:22">
      <c r="A493" s="416"/>
      <c r="B493" s="417" t="s">
        <v>606</v>
      </c>
      <c r="C493" s="418">
        <v>0</v>
      </c>
      <c r="D493" s="419">
        <v>0</v>
      </c>
      <c r="E493" s="419">
        <v>0</v>
      </c>
      <c r="F493" s="419">
        <v>0</v>
      </c>
      <c r="G493" s="419">
        <v>0</v>
      </c>
      <c r="H493" s="419">
        <v>0</v>
      </c>
      <c r="I493" s="419">
        <v>0</v>
      </c>
      <c r="J493" s="420">
        <v>0</v>
      </c>
      <c r="K493" s="420">
        <v>0</v>
      </c>
      <c r="L493" s="419">
        <v>0</v>
      </c>
      <c r="M493" s="419">
        <v>0</v>
      </c>
      <c r="N493" s="419">
        <v>0</v>
      </c>
      <c r="O493" s="420">
        <v>0</v>
      </c>
      <c r="P493" s="420">
        <v>0</v>
      </c>
      <c r="Q493" s="419">
        <v>0</v>
      </c>
      <c r="R493" s="420">
        <v>0</v>
      </c>
      <c r="S493" s="420">
        <v>0</v>
      </c>
      <c r="T493" s="420">
        <v>0</v>
      </c>
      <c r="U493" s="420">
        <v>0</v>
      </c>
      <c r="V493" s="421"/>
    </row>
    <row r="494" spans="1:22">
      <c r="A494" s="416"/>
      <c r="B494" s="422" t="s">
        <v>607</v>
      </c>
      <c r="C494" s="423">
        <v>0</v>
      </c>
      <c r="D494" s="424">
        <v>0</v>
      </c>
      <c r="E494" s="424">
        <v>0</v>
      </c>
      <c r="F494" s="424">
        <v>0</v>
      </c>
      <c r="G494" s="424">
        <v>0</v>
      </c>
      <c r="H494" s="424">
        <v>0</v>
      </c>
      <c r="I494" s="424">
        <v>0</v>
      </c>
      <c r="J494" s="426">
        <v>0</v>
      </c>
      <c r="K494" s="426">
        <v>0</v>
      </c>
      <c r="L494" s="424">
        <v>0</v>
      </c>
      <c r="M494" s="424">
        <v>0</v>
      </c>
      <c r="N494" s="424">
        <v>0</v>
      </c>
      <c r="O494" s="426">
        <v>0</v>
      </c>
      <c r="P494" s="426">
        <v>0</v>
      </c>
      <c r="Q494" s="424">
        <v>0</v>
      </c>
      <c r="R494" s="426">
        <v>0</v>
      </c>
      <c r="S494" s="426">
        <v>0</v>
      </c>
      <c r="T494" s="426">
        <v>0</v>
      </c>
      <c r="U494" s="426">
        <v>0</v>
      </c>
      <c r="V494" s="421"/>
    </row>
    <row r="495" spans="1:22">
      <c r="A495" s="416"/>
      <c r="B495" s="394" t="s">
        <v>608</v>
      </c>
      <c r="C495" s="413">
        <v>0</v>
      </c>
      <c r="D495" s="414">
        <v>0</v>
      </c>
      <c r="E495" s="414">
        <v>0</v>
      </c>
      <c r="F495" s="414">
        <v>0</v>
      </c>
      <c r="G495" s="414">
        <v>0</v>
      </c>
      <c r="H495" s="414">
        <v>0</v>
      </c>
      <c r="I495" s="414">
        <v>0</v>
      </c>
      <c r="J495" s="415">
        <v>0</v>
      </c>
      <c r="K495" s="415">
        <v>0</v>
      </c>
      <c r="L495" s="414">
        <v>0</v>
      </c>
      <c r="M495" s="414">
        <v>0</v>
      </c>
      <c r="N495" s="414">
        <v>0</v>
      </c>
      <c r="O495" s="415">
        <v>0</v>
      </c>
      <c r="P495" s="415">
        <v>0</v>
      </c>
      <c r="Q495" s="414">
        <v>0</v>
      </c>
      <c r="R495" s="415">
        <v>0</v>
      </c>
      <c r="S495" s="415">
        <v>0</v>
      </c>
      <c r="T495" s="415">
        <v>0</v>
      </c>
      <c r="U495" s="415">
        <v>0</v>
      </c>
      <c r="V495" s="421"/>
    </row>
    <row r="496" spans="1:22">
      <c r="A496" s="416"/>
      <c r="B496" s="417" t="s">
        <v>609</v>
      </c>
      <c r="C496" s="418">
        <v>0</v>
      </c>
      <c r="D496" s="419">
        <v>0</v>
      </c>
      <c r="E496" s="419">
        <v>0</v>
      </c>
      <c r="F496" s="419">
        <v>0</v>
      </c>
      <c r="G496" s="419">
        <v>0</v>
      </c>
      <c r="H496" s="419">
        <v>0</v>
      </c>
      <c r="I496" s="419">
        <v>0</v>
      </c>
      <c r="J496" s="420">
        <v>0</v>
      </c>
      <c r="K496" s="420">
        <v>0</v>
      </c>
      <c r="L496" s="419">
        <v>0</v>
      </c>
      <c r="M496" s="419">
        <v>0</v>
      </c>
      <c r="N496" s="419">
        <v>0</v>
      </c>
      <c r="O496" s="420">
        <v>0</v>
      </c>
      <c r="P496" s="420">
        <v>0</v>
      </c>
      <c r="Q496" s="419">
        <v>0</v>
      </c>
      <c r="R496" s="420">
        <v>0</v>
      </c>
      <c r="S496" s="420">
        <v>0</v>
      </c>
      <c r="T496" s="420">
        <v>0</v>
      </c>
      <c r="U496" s="420">
        <v>0</v>
      </c>
      <c r="V496" s="421"/>
    </row>
    <row r="497" spans="1:22">
      <c r="A497" s="416"/>
      <c r="B497" s="422" t="s">
        <v>610</v>
      </c>
      <c r="C497" s="423">
        <v>0</v>
      </c>
      <c r="D497" s="424">
        <v>0</v>
      </c>
      <c r="E497" s="424">
        <v>0</v>
      </c>
      <c r="F497" s="424">
        <v>0</v>
      </c>
      <c r="G497" s="424">
        <v>0</v>
      </c>
      <c r="H497" s="424">
        <v>0</v>
      </c>
      <c r="I497" s="424">
        <v>0</v>
      </c>
      <c r="J497" s="426">
        <v>0</v>
      </c>
      <c r="K497" s="426">
        <v>0</v>
      </c>
      <c r="L497" s="424">
        <v>0</v>
      </c>
      <c r="M497" s="424">
        <v>0</v>
      </c>
      <c r="N497" s="424">
        <v>0</v>
      </c>
      <c r="O497" s="426">
        <v>0</v>
      </c>
      <c r="P497" s="426">
        <v>0</v>
      </c>
      <c r="Q497" s="424">
        <v>0</v>
      </c>
      <c r="R497" s="426">
        <v>0</v>
      </c>
      <c r="S497" s="426">
        <v>0</v>
      </c>
      <c r="T497" s="426">
        <v>0</v>
      </c>
      <c r="U497" s="426">
        <v>0</v>
      </c>
      <c r="V497" s="421"/>
    </row>
    <row r="498" spans="1:22">
      <c r="A498" s="416"/>
      <c r="B498" s="394" t="s">
        <v>611</v>
      </c>
      <c r="C498" s="413">
        <v>0</v>
      </c>
      <c r="D498" s="414">
        <v>0</v>
      </c>
      <c r="E498" s="414">
        <v>0</v>
      </c>
      <c r="F498" s="414">
        <v>0</v>
      </c>
      <c r="G498" s="414">
        <v>0</v>
      </c>
      <c r="H498" s="414">
        <v>0</v>
      </c>
      <c r="I498" s="414">
        <v>0</v>
      </c>
      <c r="J498" s="415">
        <v>0</v>
      </c>
      <c r="K498" s="415">
        <v>0</v>
      </c>
      <c r="L498" s="414">
        <v>0</v>
      </c>
      <c r="M498" s="414">
        <v>0</v>
      </c>
      <c r="N498" s="414">
        <v>0</v>
      </c>
      <c r="O498" s="415">
        <v>0</v>
      </c>
      <c r="P498" s="415">
        <v>0</v>
      </c>
      <c r="Q498" s="414">
        <v>0</v>
      </c>
      <c r="R498" s="415">
        <v>0</v>
      </c>
      <c r="S498" s="415">
        <v>0</v>
      </c>
      <c r="T498" s="415">
        <v>0</v>
      </c>
      <c r="U498" s="415">
        <v>0</v>
      </c>
      <c r="V498" s="421"/>
    </row>
    <row r="499" spans="1:22">
      <c r="A499" s="416"/>
      <c r="B499" s="417" t="s">
        <v>612</v>
      </c>
      <c r="C499" s="418">
        <v>0</v>
      </c>
      <c r="D499" s="419">
        <v>0</v>
      </c>
      <c r="E499" s="419">
        <v>0</v>
      </c>
      <c r="F499" s="419">
        <v>0</v>
      </c>
      <c r="G499" s="419">
        <v>0</v>
      </c>
      <c r="H499" s="419">
        <v>0</v>
      </c>
      <c r="I499" s="419">
        <v>0</v>
      </c>
      <c r="J499" s="420">
        <v>0</v>
      </c>
      <c r="K499" s="420">
        <v>0</v>
      </c>
      <c r="L499" s="419">
        <v>0</v>
      </c>
      <c r="M499" s="419">
        <v>0</v>
      </c>
      <c r="N499" s="419">
        <v>0</v>
      </c>
      <c r="O499" s="420">
        <v>0</v>
      </c>
      <c r="P499" s="420">
        <v>0</v>
      </c>
      <c r="Q499" s="419">
        <v>0</v>
      </c>
      <c r="R499" s="420">
        <v>0</v>
      </c>
      <c r="S499" s="420">
        <v>0</v>
      </c>
      <c r="T499" s="420">
        <v>0</v>
      </c>
      <c r="U499" s="420">
        <v>0</v>
      </c>
      <c r="V499" s="421"/>
    </row>
    <row r="500" spans="1:22">
      <c r="A500" s="416"/>
      <c r="B500" s="422" t="s">
        <v>613</v>
      </c>
      <c r="C500" s="423">
        <v>0</v>
      </c>
      <c r="D500" s="424">
        <v>0</v>
      </c>
      <c r="E500" s="424">
        <v>0</v>
      </c>
      <c r="F500" s="424">
        <v>0</v>
      </c>
      <c r="G500" s="424">
        <v>0</v>
      </c>
      <c r="H500" s="424">
        <v>0</v>
      </c>
      <c r="I500" s="424">
        <v>0</v>
      </c>
      <c r="J500" s="426">
        <v>0</v>
      </c>
      <c r="K500" s="426">
        <v>0</v>
      </c>
      <c r="L500" s="424">
        <v>0</v>
      </c>
      <c r="M500" s="424">
        <v>0</v>
      </c>
      <c r="N500" s="424">
        <v>0</v>
      </c>
      <c r="O500" s="426">
        <v>0</v>
      </c>
      <c r="P500" s="426">
        <v>0</v>
      </c>
      <c r="Q500" s="424">
        <v>0</v>
      </c>
      <c r="R500" s="426">
        <v>0</v>
      </c>
      <c r="S500" s="426">
        <v>0</v>
      </c>
      <c r="T500" s="426">
        <v>0</v>
      </c>
      <c r="U500" s="426">
        <v>0</v>
      </c>
      <c r="V500" s="421"/>
    </row>
    <row r="501" spans="1:22">
      <c r="A501" s="416"/>
      <c r="B501" s="394" t="s">
        <v>614</v>
      </c>
      <c r="C501" s="413">
        <v>0</v>
      </c>
      <c r="D501" s="414">
        <v>0</v>
      </c>
      <c r="E501" s="414">
        <v>0</v>
      </c>
      <c r="F501" s="414">
        <v>0</v>
      </c>
      <c r="G501" s="414">
        <v>0</v>
      </c>
      <c r="H501" s="414">
        <v>0</v>
      </c>
      <c r="I501" s="414">
        <v>0</v>
      </c>
      <c r="J501" s="415">
        <v>0</v>
      </c>
      <c r="K501" s="415">
        <v>0</v>
      </c>
      <c r="L501" s="414">
        <v>0</v>
      </c>
      <c r="M501" s="414">
        <v>0</v>
      </c>
      <c r="N501" s="414">
        <v>0</v>
      </c>
      <c r="O501" s="415">
        <v>0</v>
      </c>
      <c r="P501" s="415">
        <v>0</v>
      </c>
      <c r="Q501" s="414">
        <v>0</v>
      </c>
      <c r="R501" s="415">
        <v>0</v>
      </c>
      <c r="S501" s="415">
        <v>0</v>
      </c>
      <c r="T501" s="415">
        <v>0</v>
      </c>
      <c r="U501" s="415">
        <v>0</v>
      </c>
      <c r="V501" s="421"/>
    </row>
    <row r="502" spans="1:22">
      <c r="A502" s="416"/>
      <c r="B502" s="417" t="s">
        <v>615</v>
      </c>
      <c r="C502" s="418">
        <v>0</v>
      </c>
      <c r="D502" s="419">
        <v>0</v>
      </c>
      <c r="E502" s="419">
        <v>0</v>
      </c>
      <c r="F502" s="419">
        <v>0</v>
      </c>
      <c r="G502" s="419">
        <v>0</v>
      </c>
      <c r="H502" s="419">
        <v>0</v>
      </c>
      <c r="I502" s="419">
        <v>0</v>
      </c>
      <c r="J502" s="420">
        <v>0</v>
      </c>
      <c r="K502" s="420">
        <v>0</v>
      </c>
      <c r="L502" s="419">
        <v>0</v>
      </c>
      <c r="M502" s="419">
        <v>0</v>
      </c>
      <c r="N502" s="419">
        <v>0</v>
      </c>
      <c r="O502" s="420">
        <v>0</v>
      </c>
      <c r="P502" s="420">
        <v>0</v>
      </c>
      <c r="Q502" s="419">
        <v>0</v>
      </c>
      <c r="R502" s="420">
        <v>0</v>
      </c>
      <c r="S502" s="420">
        <v>0</v>
      </c>
      <c r="T502" s="420">
        <v>0</v>
      </c>
      <c r="U502" s="420">
        <v>0</v>
      </c>
      <c r="V502" s="421"/>
    </row>
    <row r="503" spans="1:22">
      <c r="A503" s="416"/>
      <c r="B503" s="422" t="s">
        <v>616</v>
      </c>
      <c r="C503" s="423">
        <v>0</v>
      </c>
      <c r="D503" s="424">
        <v>0</v>
      </c>
      <c r="E503" s="424">
        <v>0</v>
      </c>
      <c r="F503" s="424">
        <v>0</v>
      </c>
      <c r="G503" s="424">
        <v>0</v>
      </c>
      <c r="H503" s="424">
        <v>0</v>
      </c>
      <c r="I503" s="424">
        <v>0</v>
      </c>
      <c r="J503" s="426">
        <v>0</v>
      </c>
      <c r="K503" s="426">
        <v>0</v>
      </c>
      <c r="L503" s="424">
        <v>0</v>
      </c>
      <c r="M503" s="424">
        <v>0</v>
      </c>
      <c r="N503" s="424">
        <v>0</v>
      </c>
      <c r="O503" s="426">
        <v>0</v>
      </c>
      <c r="P503" s="426">
        <v>0</v>
      </c>
      <c r="Q503" s="424">
        <v>0</v>
      </c>
      <c r="R503" s="426">
        <v>0</v>
      </c>
      <c r="S503" s="426">
        <v>0</v>
      </c>
      <c r="T503" s="426">
        <v>0</v>
      </c>
      <c r="U503" s="426">
        <v>0</v>
      </c>
      <c r="V503" s="421"/>
    </row>
    <row r="504" spans="1:22">
      <c r="A504" s="416"/>
      <c r="B504" s="394" t="s">
        <v>617</v>
      </c>
      <c r="C504" s="413">
        <v>0</v>
      </c>
      <c r="D504" s="414">
        <v>0</v>
      </c>
      <c r="E504" s="414">
        <v>0</v>
      </c>
      <c r="F504" s="414">
        <v>0</v>
      </c>
      <c r="G504" s="414">
        <v>0</v>
      </c>
      <c r="H504" s="414">
        <v>0</v>
      </c>
      <c r="I504" s="414">
        <v>0</v>
      </c>
      <c r="J504" s="415">
        <v>0</v>
      </c>
      <c r="K504" s="415">
        <v>0</v>
      </c>
      <c r="L504" s="414">
        <v>0</v>
      </c>
      <c r="M504" s="414">
        <v>0</v>
      </c>
      <c r="N504" s="414">
        <v>0</v>
      </c>
      <c r="O504" s="415">
        <v>0</v>
      </c>
      <c r="P504" s="415">
        <v>0</v>
      </c>
      <c r="Q504" s="414">
        <v>0</v>
      </c>
      <c r="R504" s="415">
        <v>0</v>
      </c>
      <c r="S504" s="415">
        <v>0</v>
      </c>
      <c r="T504" s="415">
        <v>0</v>
      </c>
      <c r="U504" s="415">
        <v>0</v>
      </c>
      <c r="V504" s="421"/>
    </row>
    <row r="505" spans="1:22">
      <c r="A505" s="416"/>
      <c r="B505" s="417" t="s">
        <v>618</v>
      </c>
      <c r="C505" s="418">
        <v>0</v>
      </c>
      <c r="D505" s="419">
        <v>0</v>
      </c>
      <c r="E505" s="419">
        <v>0</v>
      </c>
      <c r="F505" s="419">
        <v>0</v>
      </c>
      <c r="G505" s="419">
        <v>0</v>
      </c>
      <c r="H505" s="419">
        <v>0</v>
      </c>
      <c r="I505" s="419">
        <v>0</v>
      </c>
      <c r="J505" s="420">
        <v>0</v>
      </c>
      <c r="K505" s="420">
        <v>0</v>
      </c>
      <c r="L505" s="419">
        <v>0</v>
      </c>
      <c r="M505" s="419">
        <v>0</v>
      </c>
      <c r="N505" s="419">
        <v>0</v>
      </c>
      <c r="O505" s="420">
        <v>0</v>
      </c>
      <c r="P505" s="420">
        <v>0</v>
      </c>
      <c r="Q505" s="419">
        <v>0</v>
      </c>
      <c r="R505" s="420">
        <v>0</v>
      </c>
      <c r="S505" s="420">
        <v>0</v>
      </c>
      <c r="T505" s="420">
        <v>0</v>
      </c>
      <c r="U505" s="420">
        <v>0</v>
      </c>
      <c r="V505" s="421"/>
    </row>
    <row r="506" spans="1:22">
      <c r="A506" s="416"/>
      <c r="B506" s="422" t="s">
        <v>619</v>
      </c>
      <c r="C506" s="423">
        <v>0</v>
      </c>
      <c r="D506" s="424">
        <v>0</v>
      </c>
      <c r="E506" s="424">
        <v>0</v>
      </c>
      <c r="F506" s="424">
        <v>0</v>
      </c>
      <c r="G506" s="424">
        <v>0</v>
      </c>
      <c r="H506" s="424">
        <v>0</v>
      </c>
      <c r="I506" s="424">
        <v>0</v>
      </c>
      <c r="J506" s="426">
        <v>0</v>
      </c>
      <c r="K506" s="426">
        <v>0</v>
      </c>
      <c r="L506" s="424">
        <v>0</v>
      </c>
      <c r="M506" s="424">
        <v>0</v>
      </c>
      <c r="N506" s="424">
        <v>0</v>
      </c>
      <c r="O506" s="426">
        <v>0</v>
      </c>
      <c r="P506" s="426">
        <v>0</v>
      </c>
      <c r="Q506" s="424">
        <v>0</v>
      </c>
      <c r="R506" s="426">
        <v>0</v>
      </c>
      <c r="S506" s="426">
        <v>0</v>
      </c>
      <c r="T506" s="426">
        <v>0</v>
      </c>
      <c r="U506" s="426">
        <v>0</v>
      </c>
      <c r="V506" s="421"/>
    </row>
    <row r="507" spans="1:22">
      <c r="A507" s="416"/>
      <c r="B507" s="394" t="s">
        <v>620</v>
      </c>
      <c r="C507" s="413">
        <v>0</v>
      </c>
      <c r="D507" s="414">
        <v>0</v>
      </c>
      <c r="E507" s="414">
        <v>0</v>
      </c>
      <c r="F507" s="414">
        <v>0</v>
      </c>
      <c r="G507" s="414">
        <v>0</v>
      </c>
      <c r="H507" s="414">
        <v>0</v>
      </c>
      <c r="I507" s="414">
        <v>0</v>
      </c>
      <c r="J507" s="415">
        <v>0</v>
      </c>
      <c r="K507" s="415">
        <v>0</v>
      </c>
      <c r="L507" s="414">
        <v>0</v>
      </c>
      <c r="M507" s="414">
        <v>0</v>
      </c>
      <c r="N507" s="414">
        <v>0</v>
      </c>
      <c r="O507" s="415">
        <v>0</v>
      </c>
      <c r="P507" s="415">
        <v>0</v>
      </c>
      <c r="Q507" s="414">
        <v>0</v>
      </c>
      <c r="R507" s="415">
        <v>0</v>
      </c>
      <c r="S507" s="415">
        <v>0</v>
      </c>
      <c r="T507" s="415">
        <v>0</v>
      </c>
      <c r="U507" s="415">
        <v>0</v>
      </c>
      <c r="V507" s="421"/>
    </row>
    <row r="508" spans="1:22">
      <c r="A508" s="416"/>
      <c r="B508" s="417" t="s">
        <v>621</v>
      </c>
      <c r="C508" s="418">
        <v>0</v>
      </c>
      <c r="D508" s="419">
        <v>0</v>
      </c>
      <c r="E508" s="419">
        <v>0</v>
      </c>
      <c r="F508" s="419">
        <v>0</v>
      </c>
      <c r="G508" s="419">
        <v>0</v>
      </c>
      <c r="H508" s="419">
        <v>0</v>
      </c>
      <c r="I508" s="419">
        <v>0</v>
      </c>
      <c r="J508" s="420">
        <v>0</v>
      </c>
      <c r="K508" s="420">
        <v>0</v>
      </c>
      <c r="L508" s="419">
        <v>0</v>
      </c>
      <c r="M508" s="419">
        <v>0</v>
      </c>
      <c r="N508" s="419">
        <v>0</v>
      </c>
      <c r="O508" s="420">
        <v>0</v>
      </c>
      <c r="P508" s="420">
        <v>0</v>
      </c>
      <c r="Q508" s="419">
        <v>0</v>
      </c>
      <c r="R508" s="420">
        <v>0</v>
      </c>
      <c r="S508" s="420">
        <v>0</v>
      </c>
      <c r="T508" s="420">
        <v>0</v>
      </c>
      <c r="U508" s="420">
        <v>0</v>
      </c>
      <c r="V508" s="421"/>
    </row>
    <row r="509" spans="1:22" ht="15" thickBot="1">
      <c r="A509" s="432"/>
      <c r="B509" s="433" t="s">
        <v>622</v>
      </c>
      <c r="C509" s="434">
        <v>0</v>
      </c>
      <c r="D509" s="435">
        <v>0</v>
      </c>
      <c r="E509" s="435">
        <v>0</v>
      </c>
      <c r="F509" s="435">
        <v>0</v>
      </c>
      <c r="G509" s="435">
        <v>0</v>
      </c>
      <c r="H509" s="435">
        <v>0</v>
      </c>
      <c r="I509" s="435">
        <v>0</v>
      </c>
      <c r="J509" s="436">
        <v>0</v>
      </c>
      <c r="K509" s="436">
        <v>0</v>
      </c>
      <c r="L509" s="435">
        <v>0</v>
      </c>
      <c r="M509" s="435">
        <v>0</v>
      </c>
      <c r="N509" s="435">
        <v>0</v>
      </c>
      <c r="O509" s="436">
        <v>0</v>
      </c>
      <c r="P509" s="436">
        <v>0</v>
      </c>
      <c r="Q509" s="435">
        <v>0</v>
      </c>
      <c r="R509" s="436">
        <v>0</v>
      </c>
      <c r="S509" s="436">
        <v>0</v>
      </c>
      <c r="T509" s="436">
        <v>0</v>
      </c>
      <c r="U509" s="436">
        <v>0</v>
      </c>
      <c r="V509" s="421"/>
    </row>
    <row r="510" spans="1:22">
      <c r="A510" s="412" t="s">
        <v>486</v>
      </c>
      <c r="B510" s="394" t="s">
        <v>587</v>
      </c>
      <c r="C510" s="413">
        <v>0.88057715238799261</v>
      </c>
      <c r="D510" s="414">
        <v>0.97119724523373407</v>
      </c>
      <c r="E510" s="414">
        <v>0.89097338684175664</v>
      </c>
      <c r="F510" s="414">
        <v>0</v>
      </c>
      <c r="G510" s="414">
        <v>0.99617374852632845</v>
      </c>
      <c r="H510" s="414">
        <v>0.75147290502190478</v>
      </c>
      <c r="I510" s="414">
        <v>0</v>
      </c>
      <c r="J510" s="415">
        <v>0.88890774037677722</v>
      </c>
      <c r="K510" s="415">
        <v>0</v>
      </c>
      <c r="L510" s="414">
        <v>0.61340879734589637</v>
      </c>
      <c r="M510" s="414">
        <v>0.42563977967744299</v>
      </c>
      <c r="N510" s="414">
        <v>0.36359979034097178</v>
      </c>
      <c r="O510" s="415">
        <v>0.5320919697648081</v>
      </c>
      <c r="P510" s="415">
        <v>0</v>
      </c>
      <c r="Q510" s="414">
        <v>0</v>
      </c>
      <c r="R510" s="415">
        <v>0</v>
      </c>
      <c r="S510" s="415">
        <v>0</v>
      </c>
      <c r="T510" s="415">
        <v>0</v>
      </c>
      <c r="U510" s="415">
        <v>0.75292229399404142</v>
      </c>
      <c r="V510" s="421"/>
    </row>
    <row r="511" spans="1:22">
      <c r="A511" s="416"/>
      <c r="B511" s="417" t="s">
        <v>588</v>
      </c>
      <c r="C511" s="418">
        <v>0.87365708434188127</v>
      </c>
      <c r="D511" s="419">
        <v>0.96542370488233364</v>
      </c>
      <c r="E511" s="419">
        <v>0.88212067595306043</v>
      </c>
      <c r="F511" s="419">
        <v>0</v>
      </c>
      <c r="G511" s="419">
        <v>0.99433211112778841</v>
      </c>
      <c r="H511" s="419">
        <v>0.74984716157205245</v>
      </c>
      <c r="I511" s="419">
        <v>0</v>
      </c>
      <c r="J511" s="420">
        <v>0.88156824593173011</v>
      </c>
      <c r="K511" s="420">
        <v>0</v>
      </c>
      <c r="L511" s="419">
        <v>0.60373504971842618</v>
      </c>
      <c r="M511" s="419">
        <v>0.39946577089983343</v>
      </c>
      <c r="N511" s="419">
        <v>0.36776303851182529</v>
      </c>
      <c r="O511" s="420">
        <v>0.52013706961471917</v>
      </c>
      <c r="P511" s="420">
        <v>0</v>
      </c>
      <c r="Q511" s="419">
        <v>0</v>
      </c>
      <c r="R511" s="420">
        <v>0</v>
      </c>
      <c r="S511" s="420">
        <v>0</v>
      </c>
      <c r="T511" s="420">
        <v>0</v>
      </c>
      <c r="U511" s="420">
        <v>0.74625972510828154</v>
      </c>
      <c r="V511" s="421"/>
    </row>
    <row r="512" spans="1:22">
      <c r="A512" s="416"/>
      <c r="B512" s="422" t="s">
        <v>589</v>
      </c>
      <c r="C512" s="423">
        <v>-0.69200680461113384</v>
      </c>
      <c r="D512" s="424">
        <v>-0.57735403514004302</v>
      </c>
      <c r="E512" s="424">
        <v>-0.88527108886962136</v>
      </c>
      <c r="F512" s="424">
        <v>0</v>
      </c>
      <c r="G512" s="424">
        <v>-0.18416373985400414</v>
      </c>
      <c r="H512" s="424">
        <v>-0.16257434498523349</v>
      </c>
      <c r="I512" s="424">
        <v>0</v>
      </c>
      <c r="J512" s="426">
        <v>-0.73394944450471122</v>
      </c>
      <c r="K512" s="426">
        <v>0</v>
      </c>
      <c r="L512" s="424">
        <v>-0.96737476274701972</v>
      </c>
      <c r="M512" s="424">
        <v>-2.6174008777609559</v>
      </c>
      <c r="N512" s="424">
        <v>0.41632481708535063</v>
      </c>
      <c r="O512" s="426">
        <v>-1.1954900150088932</v>
      </c>
      <c r="P512" s="426">
        <v>0</v>
      </c>
      <c r="Q512" s="424">
        <v>0</v>
      </c>
      <c r="R512" s="426">
        <v>0</v>
      </c>
      <c r="S512" s="426">
        <v>0</v>
      </c>
      <c r="T512" s="426">
        <v>0</v>
      </c>
      <c r="U512" s="426">
        <v>-0.66625688857598897</v>
      </c>
      <c r="V512" s="421"/>
    </row>
    <row r="513" spans="1:22">
      <c r="A513" s="416"/>
      <c r="B513" s="394" t="s">
        <v>590</v>
      </c>
      <c r="C513" s="413">
        <v>1.2788616436541221E-2</v>
      </c>
      <c r="D513" s="414">
        <v>2.4833660068493701E-2</v>
      </c>
      <c r="E513" s="414">
        <v>1.4714364562621055E-2</v>
      </c>
      <c r="F513" s="414">
        <v>0</v>
      </c>
      <c r="G513" s="414">
        <v>3.8262514736715778E-3</v>
      </c>
      <c r="H513" s="414">
        <v>0</v>
      </c>
      <c r="I513" s="414">
        <v>0</v>
      </c>
      <c r="J513" s="415">
        <v>1.3384777149396348E-2</v>
      </c>
      <c r="K513" s="415">
        <v>0</v>
      </c>
      <c r="L513" s="414">
        <v>9.7343216546342301E-2</v>
      </c>
      <c r="M513" s="414">
        <v>0.24478987102606353</v>
      </c>
      <c r="N513" s="414">
        <v>0.25065288557030935</v>
      </c>
      <c r="O513" s="415">
        <v>0.15506070741921041</v>
      </c>
      <c r="P513" s="415">
        <v>0</v>
      </c>
      <c r="Q513" s="414">
        <v>0</v>
      </c>
      <c r="R513" s="415">
        <v>0</v>
      </c>
      <c r="S513" s="415">
        <v>0</v>
      </c>
      <c r="T513" s="415">
        <v>0</v>
      </c>
      <c r="U513" s="415">
        <v>6.7378647953894213E-2</v>
      </c>
      <c r="V513" s="421"/>
    </row>
    <row r="514" spans="1:22">
      <c r="A514" s="416"/>
      <c r="B514" s="417" t="s">
        <v>591</v>
      </c>
      <c r="C514" s="418">
        <v>1.4017035198831509E-2</v>
      </c>
      <c r="D514" s="419">
        <v>2.8450637682025159E-2</v>
      </c>
      <c r="E514" s="419">
        <v>1.8255491683103892E-2</v>
      </c>
      <c r="F514" s="419">
        <v>0</v>
      </c>
      <c r="G514" s="419">
        <v>4.8530851755759019E-3</v>
      </c>
      <c r="H514" s="419">
        <v>0</v>
      </c>
      <c r="I514" s="419">
        <v>0</v>
      </c>
      <c r="J514" s="420">
        <v>1.5288349742064972E-2</v>
      </c>
      <c r="K514" s="420">
        <v>0</v>
      </c>
      <c r="L514" s="419">
        <v>0.1120427000976401</v>
      </c>
      <c r="M514" s="419">
        <v>0.24568550116705939</v>
      </c>
      <c r="N514" s="419">
        <v>0.23405111645674456</v>
      </c>
      <c r="O514" s="420">
        <v>0.16204741840432504</v>
      </c>
      <c r="P514" s="420">
        <v>0</v>
      </c>
      <c r="Q514" s="419">
        <v>0</v>
      </c>
      <c r="R514" s="420">
        <v>0</v>
      </c>
      <c r="S514" s="420">
        <v>0</v>
      </c>
      <c r="T514" s="420">
        <v>0</v>
      </c>
      <c r="U514" s="420">
        <v>7.0230351980134539E-2</v>
      </c>
      <c r="V514" s="421"/>
    </row>
    <row r="515" spans="1:22">
      <c r="A515" s="416"/>
      <c r="B515" s="422" t="s">
        <v>592</v>
      </c>
      <c r="C515" s="423">
        <v>0.12284187622902884</v>
      </c>
      <c r="D515" s="424">
        <v>0.36169776135314585</v>
      </c>
      <c r="E515" s="424">
        <v>0.35411271204828371</v>
      </c>
      <c r="F515" s="424">
        <v>0</v>
      </c>
      <c r="G515" s="424">
        <v>0.10268337019043242</v>
      </c>
      <c r="H515" s="424">
        <v>0</v>
      </c>
      <c r="I515" s="424">
        <v>0</v>
      </c>
      <c r="J515" s="426">
        <v>0.19035725926686234</v>
      </c>
      <c r="K515" s="426">
        <v>0</v>
      </c>
      <c r="L515" s="424">
        <v>1.4699483551297798</v>
      </c>
      <c r="M515" s="424">
        <v>8.9563014099586225E-2</v>
      </c>
      <c r="N515" s="424">
        <v>-1.6601769113564786</v>
      </c>
      <c r="O515" s="426">
        <v>0.69867109851146358</v>
      </c>
      <c r="P515" s="426">
        <v>0</v>
      </c>
      <c r="Q515" s="424">
        <v>0</v>
      </c>
      <c r="R515" s="426">
        <v>0</v>
      </c>
      <c r="S515" s="426">
        <v>0</v>
      </c>
      <c r="T515" s="426">
        <v>0</v>
      </c>
      <c r="U515" s="426">
        <v>0.28517040262403259</v>
      </c>
      <c r="V515" s="421"/>
    </row>
    <row r="516" spans="1:22">
      <c r="A516" s="416"/>
      <c r="B516" s="394" t="s">
        <v>593</v>
      </c>
      <c r="C516" s="413">
        <v>9.7699767088532355E-2</v>
      </c>
      <c r="D516" s="414">
        <v>3.8618218681026923E-3</v>
      </c>
      <c r="E516" s="414">
        <v>9.3568950534681339E-2</v>
      </c>
      <c r="F516" s="414">
        <v>0</v>
      </c>
      <c r="G516" s="414">
        <v>0</v>
      </c>
      <c r="H516" s="414">
        <v>0.24852709497809525</v>
      </c>
      <c r="I516" s="414">
        <v>0</v>
      </c>
      <c r="J516" s="415">
        <v>9.1652188142813715E-2</v>
      </c>
      <c r="K516" s="415">
        <v>0</v>
      </c>
      <c r="L516" s="414">
        <v>0.28881974927510601</v>
      </c>
      <c r="M516" s="414">
        <v>0.27712429656132848</v>
      </c>
      <c r="N516" s="414">
        <v>0.31742882627726487</v>
      </c>
      <c r="O516" s="415">
        <v>0.29008006531644237</v>
      </c>
      <c r="P516" s="415">
        <v>0</v>
      </c>
      <c r="Q516" s="414">
        <v>0</v>
      </c>
      <c r="R516" s="415">
        <v>0</v>
      </c>
      <c r="S516" s="415">
        <v>0</v>
      </c>
      <c r="T516" s="415">
        <v>0</v>
      </c>
      <c r="U516" s="415">
        <v>0.1672746960996675</v>
      </c>
      <c r="V516" s="421"/>
    </row>
    <row r="517" spans="1:22">
      <c r="A517" s="416"/>
      <c r="B517" s="417" t="s">
        <v>594</v>
      </c>
      <c r="C517" s="418">
        <v>0.10449828658800196</v>
      </c>
      <c r="D517" s="419">
        <v>6.1256574356412258E-3</v>
      </c>
      <c r="E517" s="419">
        <v>9.913697259489182E-2</v>
      </c>
      <c r="F517" s="419">
        <v>0</v>
      </c>
      <c r="G517" s="419">
        <v>8.1480369663571842E-4</v>
      </c>
      <c r="H517" s="419">
        <v>0.25015283842794761</v>
      </c>
      <c r="I517" s="419">
        <v>0</v>
      </c>
      <c r="J517" s="420">
        <v>9.7845139946320533E-2</v>
      </c>
      <c r="K517" s="420">
        <v>0</v>
      </c>
      <c r="L517" s="419">
        <v>0.28387553717164604</v>
      </c>
      <c r="M517" s="419">
        <v>0.29430369169577353</v>
      </c>
      <c r="N517" s="419">
        <v>0.33696567575993042</v>
      </c>
      <c r="O517" s="420">
        <v>0.29408777779088124</v>
      </c>
      <c r="P517" s="420">
        <v>0</v>
      </c>
      <c r="Q517" s="419">
        <v>0</v>
      </c>
      <c r="R517" s="420">
        <v>0</v>
      </c>
      <c r="S517" s="420">
        <v>0</v>
      </c>
      <c r="T517" s="420">
        <v>0</v>
      </c>
      <c r="U517" s="420">
        <v>0.17131224181566604</v>
      </c>
      <c r="V517" s="421"/>
    </row>
    <row r="518" spans="1:22">
      <c r="A518" s="416"/>
      <c r="B518" s="422" t="s">
        <v>595</v>
      </c>
      <c r="C518" s="423">
        <v>0.67985194994696074</v>
      </c>
      <c r="D518" s="424">
        <v>0.22638355675385335</v>
      </c>
      <c r="E518" s="424">
        <v>0.55680220602104813</v>
      </c>
      <c r="F518" s="424">
        <v>0</v>
      </c>
      <c r="G518" s="424">
        <v>0</v>
      </c>
      <c r="H518" s="424">
        <v>0.16257434498523626</v>
      </c>
      <c r="I518" s="424">
        <v>0</v>
      </c>
      <c r="J518" s="426">
        <v>0.61929518035068187</v>
      </c>
      <c r="K518" s="426">
        <v>0</v>
      </c>
      <c r="L518" s="424">
        <v>-0.49442121034599662</v>
      </c>
      <c r="M518" s="424">
        <v>1.7179395134445052</v>
      </c>
      <c r="N518" s="424">
        <v>1.9536849482665541</v>
      </c>
      <c r="O518" s="426">
        <v>0.40077124744388737</v>
      </c>
      <c r="P518" s="426">
        <v>0</v>
      </c>
      <c r="Q518" s="424">
        <v>0</v>
      </c>
      <c r="R518" s="426">
        <v>0</v>
      </c>
      <c r="S518" s="426">
        <v>0</v>
      </c>
      <c r="T518" s="426">
        <v>0</v>
      </c>
      <c r="U518" s="426">
        <v>0.40375457159985417</v>
      </c>
      <c r="V518" s="421"/>
    </row>
    <row r="519" spans="1:22">
      <c r="A519" s="416"/>
      <c r="B519" s="394" t="s">
        <v>596</v>
      </c>
      <c r="C519" s="413">
        <v>8.9134141403635209E-3</v>
      </c>
      <c r="D519" s="414">
        <v>1.0727282966951923E-4</v>
      </c>
      <c r="E519" s="414">
        <v>7.4329806094095214E-4</v>
      </c>
      <c r="F519" s="414">
        <v>0</v>
      </c>
      <c r="G519" s="414">
        <v>0</v>
      </c>
      <c r="H519" s="414">
        <v>0</v>
      </c>
      <c r="I519" s="414">
        <v>0</v>
      </c>
      <c r="J519" s="415">
        <v>6.0415088003786636E-3</v>
      </c>
      <c r="K519" s="415">
        <v>0</v>
      </c>
      <c r="L519" s="414">
        <v>4.2823683265533636E-4</v>
      </c>
      <c r="M519" s="414">
        <v>5.2446052735165012E-2</v>
      </c>
      <c r="N519" s="414">
        <v>6.8318497811454007E-2</v>
      </c>
      <c r="O519" s="415">
        <v>2.2767257499539097E-2</v>
      </c>
      <c r="P519" s="415">
        <v>0</v>
      </c>
      <c r="Q519" s="414">
        <v>0</v>
      </c>
      <c r="R519" s="415">
        <v>0</v>
      </c>
      <c r="S519" s="415">
        <v>0</v>
      </c>
      <c r="T519" s="415">
        <v>0</v>
      </c>
      <c r="U519" s="415">
        <v>1.2415830201699871E-2</v>
      </c>
      <c r="V519" s="421"/>
    </row>
    <row r="520" spans="1:22">
      <c r="A520" s="416"/>
      <c r="B520" s="417" t="s">
        <v>597</v>
      </c>
      <c r="C520" s="418">
        <v>7.812328261894352E-3</v>
      </c>
      <c r="D520" s="419">
        <v>0</v>
      </c>
      <c r="E520" s="419">
        <v>4.8685976894396088E-4</v>
      </c>
      <c r="F520" s="419">
        <v>0</v>
      </c>
      <c r="G520" s="419">
        <v>0</v>
      </c>
      <c r="H520" s="419">
        <v>0</v>
      </c>
      <c r="I520" s="419">
        <v>0</v>
      </c>
      <c r="J520" s="420">
        <v>5.288183200989633E-3</v>
      </c>
      <c r="K520" s="420">
        <v>0</v>
      </c>
      <c r="L520" s="419">
        <v>3.4671301228770694E-4</v>
      </c>
      <c r="M520" s="419">
        <v>6.0545036237333642E-2</v>
      </c>
      <c r="N520" s="419">
        <v>6.1220169271499758E-2</v>
      </c>
      <c r="O520" s="420">
        <v>2.3727734190074581E-2</v>
      </c>
      <c r="P520" s="420">
        <v>0</v>
      </c>
      <c r="Q520" s="419">
        <v>0</v>
      </c>
      <c r="R520" s="420">
        <v>0</v>
      </c>
      <c r="S520" s="420">
        <v>0</v>
      </c>
      <c r="T520" s="420">
        <v>0</v>
      </c>
      <c r="U520" s="420">
        <v>1.2191373994894074E-2</v>
      </c>
      <c r="V520" s="421"/>
    </row>
    <row r="521" spans="1:22">
      <c r="A521" s="416"/>
      <c r="B521" s="422" t="s">
        <v>598</v>
      </c>
      <c r="C521" s="423">
        <v>-0.11010858784691688</v>
      </c>
      <c r="D521" s="424">
        <v>-1.0727282966951922E-2</v>
      </c>
      <c r="E521" s="424">
        <v>-2.5643829199699125E-2</v>
      </c>
      <c r="F521" s="424">
        <v>0</v>
      </c>
      <c r="G521" s="424">
        <v>0</v>
      </c>
      <c r="H521" s="424">
        <v>0</v>
      </c>
      <c r="I521" s="424">
        <v>0</v>
      </c>
      <c r="J521" s="426">
        <v>-7.533255993890306E-2</v>
      </c>
      <c r="K521" s="426">
        <v>0</v>
      </c>
      <c r="L521" s="424">
        <v>-8.1523820367629413E-3</v>
      </c>
      <c r="M521" s="424">
        <v>0.80989835021686307</v>
      </c>
      <c r="N521" s="424">
        <v>-0.70983285399542484</v>
      </c>
      <c r="O521" s="426">
        <v>9.6047669053548473E-2</v>
      </c>
      <c r="P521" s="426">
        <v>0</v>
      </c>
      <c r="Q521" s="424">
        <v>0</v>
      </c>
      <c r="R521" s="426">
        <v>0</v>
      </c>
      <c r="S521" s="426">
        <v>0</v>
      </c>
      <c r="T521" s="426">
        <v>0</v>
      </c>
      <c r="U521" s="426">
        <v>-2.2445620680579779E-2</v>
      </c>
      <c r="V521" s="421"/>
    </row>
    <row r="522" spans="1:22">
      <c r="A522" s="416"/>
      <c r="B522" s="394" t="s">
        <v>599</v>
      </c>
      <c r="C522" s="413">
        <v>2.1049946570282674E-5</v>
      </c>
      <c r="D522" s="414">
        <v>0</v>
      </c>
      <c r="E522" s="414">
        <v>0</v>
      </c>
      <c r="F522" s="414">
        <v>0</v>
      </c>
      <c r="G522" s="414">
        <v>0</v>
      </c>
      <c r="H522" s="414">
        <v>0</v>
      </c>
      <c r="I522" s="414">
        <v>0</v>
      </c>
      <c r="J522" s="415">
        <v>1.3785530634064264E-5</v>
      </c>
      <c r="K522" s="415">
        <v>0</v>
      </c>
      <c r="L522" s="414">
        <v>0</v>
      </c>
      <c r="M522" s="414">
        <v>0</v>
      </c>
      <c r="N522" s="414">
        <v>0</v>
      </c>
      <c r="O522" s="415">
        <v>0</v>
      </c>
      <c r="P522" s="415">
        <v>0</v>
      </c>
      <c r="Q522" s="414">
        <v>0</v>
      </c>
      <c r="R522" s="415">
        <v>0</v>
      </c>
      <c r="S522" s="415">
        <v>0</v>
      </c>
      <c r="T522" s="415">
        <v>0</v>
      </c>
      <c r="U522" s="415">
        <v>8.5317506969248381E-6</v>
      </c>
      <c r="V522" s="421"/>
    </row>
    <row r="523" spans="1:22">
      <c r="A523" s="416"/>
      <c r="B523" s="417" t="s">
        <v>600</v>
      </c>
      <c r="C523" s="418">
        <v>1.5265609390914399E-5</v>
      </c>
      <c r="D523" s="419">
        <v>0</v>
      </c>
      <c r="E523" s="419">
        <v>0</v>
      </c>
      <c r="F523" s="419">
        <v>0</v>
      </c>
      <c r="G523" s="419">
        <v>0</v>
      </c>
      <c r="H523" s="419">
        <v>0</v>
      </c>
      <c r="I523" s="419">
        <v>0</v>
      </c>
      <c r="J523" s="420">
        <v>1.008117889467293E-5</v>
      </c>
      <c r="K523" s="420">
        <v>0</v>
      </c>
      <c r="L523" s="419">
        <v>0</v>
      </c>
      <c r="M523" s="419">
        <v>0</v>
      </c>
      <c r="N523" s="419">
        <v>0</v>
      </c>
      <c r="O523" s="420">
        <v>0</v>
      </c>
      <c r="P523" s="420">
        <v>0</v>
      </c>
      <c r="Q523" s="419">
        <v>0</v>
      </c>
      <c r="R523" s="420">
        <v>0</v>
      </c>
      <c r="S523" s="420">
        <v>0</v>
      </c>
      <c r="T523" s="420">
        <v>0</v>
      </c>
      <c r="U523" s="420">
        <v>6.3071010237635919E-6</v>
      </c>
      <c r="V523" s="421"/>
    </row>
    <row r="524" spans="1:22">
      <c r="A524" s="416"/>
      <c r="B524" s="422" t="s">
        <v>601</v>
      </c>
      <c r="C524" s="423">
        <v>-5.7843371793682755E-4</v>
      </c>
      <c r="D524" s="424">
        <v>0</v>
      </c>
      <c r="E524" s="424">
        <v>0</v>
      </c>
      <c r="F524" s="424">
        <v>0</v>
      </c>
      <c r="G524" s="424">
        <v>0</v>
      </c>
      <c r="H524" s="424">
        <v>0</v>
      </c>
      <c r="I524" s="424">
        <v>0</v>
      </c>
      <c r="J524" s="426">
        <v>-3.7043517393913335E-4</v>
      </c>
      <c r="K524" s="426">
        <v>0</v>
      </c>
      <c r="L524" s="424">
        <v>0</v>
      </c>
      <c r="M524" s="424">
        <v>0</v>
      </c>
      <c r="N524" s="424">
        <v>0</v>
      </c>
      <c r="O524" s="426">
        <v>0</v>
      </c>
      <c r="P524" s="426">
        <v>0</v>
      </c>
      <c r="Q524" s="424">
        <v>0</v>
      </c>
      <c r="R524" s="426">
        <v>0</v>
      </c>
      <c r="S524" s="426">
        <v>0</v>
      </c>
      <c r="T524" s="426">
        <v>0</v>
      </c>
      <c r="U524" s="426">
        <v>-2.2246496731612462E-4</v>
      </c>
      <c r="V524" s="421"/>
    </row>
    <row r="525" spans="1:22">
      <c r="A525" s="416"/>
      <c r="B525" s="394" t="s">
        <v>602</v>
      </c>
      <c r="C525" s="413">
        <v>0</v>
      </c>
      <c r="D525" s="414">
        <v>0</v>
      </c>
      <c r="E525" s="414">
        <v>0</v>
      </c>
      <c r="F525" s="414">
        <v>0</v>
      </c>
      <c r="G525" s="414">
        <v>0</v>
      </c>
      <c r="H525" s="414">
        <v>0</v>
      </c>
      <c r="I525" s="414">
        <v>0</v>
      </c>
      <c r="J525" s="415">
        <v>0</v>
      </c>
      <c r="K525" s="415">
        <v>0</v>
      </c>
      <c r="L525" s="414">
        <v>0</v>
      </c>
      <c r="M525" s="414">
        <v>0</v>
      </c>
      <c r="N525" s="414">
        <v>0</v>
      </c>
      <c r="O525" s="415">
        <v>0</v>
      </c>
      <c r="P525" s="415">
        <v>0</v>
      </c>
      <c r="Q525" s="414">
        <v>0</v>
      </c>
      <c r="R525" s="415">
        <v>0</v>
      </c>
      <c r="S525" s="415">
        <v>0</v>
      </c>
      <c r="T525" s="415">
        <v>0</v>
      </c>
      <c r="U525" s="415">
        <v>0</v>
      </c>
      <c r="V525" s="421"/>
    </row>
    <row r="526" spans="1:22">
      <c r="A526" s="416"/>
      <c r="B526" s="417" t="s">
        <v>603</v>
      </c>
      <c r="C526" s="418">
        <v>0</v>
      </c>
      <c r="D526" s="419">
        <v>0</v>
      </c>
      <c r="E526" s="419">
        <v>0</v>
      </c>
      <c r="F526" s="419">
        <v>0</v>
      </c>
      <c r="G526" s="419">
        <v>0</v>
      </c>
      <c r="H526" s="419">
        <v>0</v>
      </c>
      <c r="I526" s="419">
        <v>0</v>
      </c>
      <c r="J526" s="420">
        <v>0</v>
      </c>
      <c r="K526" s="420">
        <v>0</v>
      </c>
      <c r="L526" s="419">
        <v>0</v>
      </c>
      <c r="M526" s="419">
        <v>0</v>
      </c>
      <c r="N526" s="419">
        <v>0</v>
      </c>
      <c r="O526" s="420">
        <v>0</v>
      </c>
      <c r="P526" s="420">
        <v>0</v>
      </c>
      <c r="Q526" s="419">
        <v>0</v>
      </c>
      <c r="R526" s="420">
        <v>0</v>
      </c>
      <c r="S526" s="420">
        <v>0</v>
      </c>
      <c r="T526" s="420">
        <v>0</v>
      </c>
      <c r="U526" s="420">
        <v>0</v>
      </c>
      <c r="V526" s="421"/>
    </row>
    <row r="527" spans="1:22" ht="15" thickBot="1">
      <c r="A527" s="416"/>
      <c r="B527" s="428" t="s">
        <v>604</v>
      </c>
      <c r="C527" s="429">
        <v>0</v>
      </c>
      <c r="D527" s="430">
        <v>0</v>
      </c>
      <c r="E527" s="430">
        <v>0</v>
      </c>
      <c r="F527" s="430">
        <v>0</v>
      </c>
      <c r="G527" s="430">
        <v>0</v>
      </c>
      <c r="H527" s="430">
        <v>0</v>
      </c>
      <c r="I527" s="430">
        <v>0</v>
      </c>
      <c r="J527" s="431">
        <v>0</v>
      </c>
      <c r="K527" s="431">
        <v>0</v>
      </c>
      <c r="L527" s="430">
        <v>0</v>
      </c>
      <c r="M527" s="430">
        <v>0</v>
      </c>
      <c r="N527" s="430">
        <v>0</v>
      </c>
      <c r="O527" s="431">
        <v>0</v>
      </c>
      <c r="P527" s="431">
        <v>0</v>
      </c>
      <c r="Q527" s="430">
        <v>0</v>
      </c>
      <c r="R527" s="431">
        <v>0</v>
      </c>
      <c r="S527" s="431">
        <v>0</v>
      </c>
      <c r="T527" s="431">
        <v>0</v>
      </c>
      <c r="U527" s="431">
        <v>0</v>
      </c>
      <c r="V527" s="421"/>
    </row>
    <row r="528" spans="1:22" ht="15" thickTop="1">
      <c r="A528" s="416"/>
      <c r="B528" s="417" t="s">
        <v>605</v>
      </c>
      <c r="C528" s="418">
        <v>0.78038644267377311</v>
      </c>
      <c r="D528" s="419">
        <v>0.79827115188583075</v>
      </c>
      <c r="E528" s="419">
        <v>0.62321163602369722</v>
      </c>
      <c r="F528" s="419">
        <v>0</v>
      </c>
      <c r="G528" s="419">
        <v>0.986101919258769</v>
      </c>
      <c r="H528" s="419">
        <v>0</v>
      </c>
      <c r="I528" s="419">
        <v>0</v>
      </c>
      <c r="J528" s="420">
        <v>0.76589027003074772</v>
      </c>
      <c r="K528" s="420">
        <v>0</v>
      </c>
      <c r="L528" s="419">
        <v>0</v>
      </c>
      <c r="M528" s="419">
        <v>0</v>
      </c>
      <c r="N528" s="419">
        <v>0</v>
      </c>
      <c r="O528" s="420">
        <v>0</v>
      </c>
      <c r="P528" s="420">
        <v>0</v>
      </c>
      <c r="Q528" s="419">
        <v>0</v>
      </c>
      <c r="R528" s="420">
        <v>0</v>
      </c>
      <c r="S528" s="420">
        <v>0</v>
      </c>
      <c r="T528" s="420">
        <v>0</v>
      </c>
      <c r="U528" s="420">
        <v>0.76589027003074772</v>
      </c>
      <c r="V528" s="421"/>
    </row>
    <row r="529" spans="1:22">
      <c r="A529" s="416"/>
      <c r="B529" s="417" t="s">
        <v>606</v>
      </c>
      <c r="C529" s="418">
        <v>0.76509366211083785</v>
      </c>
      <c r="D529" s="419">
        <v>0.76588335504559579</v>
      </c>
      <c r="E529" s="419">
        <v>0.55028776018958325</v>
      </c>
      <c r="F529" s="419">
        <v>0</v>
      </c>
      <c r="G529" s="419">
        <v>1</v>
      </c>
      <c r="H529" s="419">
        <v>0</v>
      </c>
      <c r="I529" s="419">
        <v>0</v>
      </c>
      <c r="J529" s="420">
        <v>0.74189393376150259</v>
      </c>
      <c r="K529" s="420">
        <v>0</v>
      </c>
      <c r="L529" s="419">
        <v>0</v>
      </c>
      <c r="M529" s="419">
        <v>0</v>
      </c>
      <c r="N529" s="419">
        <v>0</v>
      </c>
      <c r="O529" s="420">
        <v>0</v>
      </c>
      <c r="P529" s="420">
        <v>0</v>
      </c>
      <c r="Q529" s="419">
        <v>0</v>
      </c>
      <c r="R529" s="420">
        <v>0</v>
      </c>
      <c r="S529" s="420">
        <v>0</v>
      </c>
      <c r="T529" s="420">
        <v>0</v>
      </c>
      <c r="U529" s="420">
        <v>0.74189393376150259</v>
      </c>
      <c r="V529" s="421"/>
    </row>
    <row r="530" spans="1:22">
      <c r="A530" s="416"/>
      <c r="B530" s="422" t="s">
        <v>607</v>
      </c>
      <c r="C530" s="423">
        <v>-1.529278056293526</v>
      </c>
      <c r="D530" s="424">
        <v>-3.2387796840234961</v>
      </c>
      <c r="E530" s="424">
        <v>-7.2923875834113971</v>
      </c>
      <c r="F530" s="424">
        <v>0</v>
      </c>
      <c r="G530" s="424">
        <v>1.3898080741231</v>
      </c>
      <c r="H530" s="424">
        <v>0</v>
      </c>
      <c r="I530" s="424">
        <v>0</v>
      </c>
      <c r="J530" s="426">
        <v>-2.3996336269245133</v>
      </c>
      <c r="K530" s="426">
        <v>0</v>
      </c>
      <c r="L530" s="424">
        <v>0</v>
      </c>
      <c r="M530" s="424">
        <v>0</v>
      </c>
      <c r="N530" s="424">
        <v>0</v>
      </c>
      <c r="O530" s="426">
        <v>0</v>
      </c>
      <c r="P530" s="426">
        <v>0</v>
      </c>
      <c r="Q530" s="424">
        <v>0</v>
      </c>
      <c r="R530" s="426">
        <v>0</v>
      </c>
      <c r="S530" s="426">
        <v>0</v>
      </c>
      <c r="T530" s="426">
        <v>0</v>
      </c>
      <c r="U530" s="426">
        <v>-2.3996336269245133</v>
      </c>
      <c r="V530" s="421"/>
    </row>
    <row r="531" spans="1:22">
      <c r="A531" s="416"/>
      <c r="B531" s="394" t="s">
        <v>608</v>
      </c>
      <c r="C531" s="413">
        <v>6.5928787838239453E-2</v>
      </c>
      <c r="D531" s="414">
        <v>7.7496432212028538E-2</v>
      </c>
      <c r="E531" s="414">
        <v>0.11744940547715062</v>
      </c>
      <c r="F531" s="414">
        <v>0</v>
      </c>
      <c r="G531" s="414">
        <v>1.3898080741230973E-2</v>
      </c>
      <c r="H531" s="414">
        <v>0</v>
      </c>
      <c r="I531" s="414">
        <v>0</v>
      </c>
      <c r="J531" s="415">
        <v>7.1969779732902167E-2</v>
      </c>
      <c r="K531" s="415">
        <v>0</v>
      </c>
      <c r="L531" s="414">
        <v>0</v>
      </c>
      <c r="M531" s="414">
        <v>0</v>
      </c>
      <c r="N531" s="414">
        <v>0</v>
      </c>
      <c r="O531" s="415">
        <v>0</v>
      </c>
      <c r="P531" s="415">
        <v>0</v>
      </c>
      <c r="Q531" s="414">
        <v>0</v>
      </c>
      <c r="R531" s="415">
        <v>0</v>
      </c>
      <c r="S531" s="415">
        <v>0</v>
      </c>
      <c r="T531" s="415">
        <v>0</v>
      </c>
      <c r="U531" s="415">
        <v>7.1969779732902167E-2</v>
      </c>
      <c r="V531" s="421"/>
    </row>
    <row r="532" spans="1:22">
      <c r="A532" s="416"/>
      <c r="B532" s="417" t="s">
        <v>609</v>
      </c>
      <c r="C532" s="418">
        <v>6.6126948173305347E-2</v>
      </c>
      <c r="D532" s="419">
        <v>7.5892708020175698E-2</v>
      </c>
      <c r="E532" s="419">
        <v>0.12975368548478103</v>
      </c>
      <c r="F532" s="419">
        <v>0</v>
      </c>
      <c r="G532" s="419">
        <v>0</v>
      </c>
      <c r="H532" s="419">
        <v>0</v>
      </c>
      <c r="I532" s="419">
        <v>0</v>
      </c>
      <c r="J532" s="420">
        <v>7.3693902878417872E-2</v>
      </c>
      <c r="K532" s="420">
        <v>0</v>
      </c>
      <c r="L532" s="419">
        <v>0</v>
      </c>
      <c r="M532" s="419">
        <v>0</v>
      </c>
      <c r="N532" s="419">
        <v>0</v>
      </c>
      <c r="O532" s="420">
        <v>0</v>
      </c>
      <c r="P532" s="420">
        <v>0</v>
      </c>
      <c r="Q532" s="419">
        <v>0</v>
      </c>
      <c r="R532" s="420">
        <v>0</v>
      </c>
      <c r="S532" s="420">
        <v>0</v>
      </c>
      <c r="T532" s="420">
        <v>0</v>
      </c>
      <c r="U532" s="420">
        <v>7.3693902878417872E-2</v>
      </c>
      <c r="V532" s="421"/>
    </row>
    <row r="533" spans="1:22">
      <c r="A533" s="416"/>
      <c r="B533" s="422" t="s">
        <v>610</v>
      </c>
      <c r="C533" s="423">
        <v>1.9816033506589448E-2</v>
      </c>
      <c r="D533" s="424">
        <v>-0.160372419185284</v>
      </c>
      <c r="E533" s="424">
        <v>1.230428000763041</v>
      </c>
      <c r="F533" s="424">
        <v>0</v>
      </c>
      <c r="G533" s="424">
        <v>-1.3898080741230974</v>
      </c>
      <c r="H533" s="424">
        <v>0</v>
      </c>
      <c r="I533" s="424">
        <v>0</v>
      </c>
      <c r="J533" s="426">
        <v>0.17241231455157047</v>
      </c>
      <c r="K533" s="426">
        <v>0</v>
      </c>
      <c r="L533" s="424">
        <v>0</v>
      </c>
      <c r="M533" s="424">
        <v>0</v>
      </c>
      <c r="N533" s="424">
        <v>0</v>
      </c>
      <c r="O533" s="426">
        <v>0</v>
      </c>
      <c r="P533" s="426">
        <v>0</v>
      </c>
      <c r="Q533" s="424">
        <v>0</v>
      </c>
      <c r="R533" s="426">
        <v>0</v>
      </c>
      <c r="S533" s="426">
        <v>0</v>
      </c>
      <c r="T533" s="426">
        <v>0</v>
      </c>
      <c r="U533" s="426">
        <v>0.17241231455157047</v>
      </c>
      <c r="V533" s="421"/>
    </row>
    <row r="534" spans="1:22">
      <c r="A534" s="416"/>
      <c r="B534" s="394" t="s">
        <v>611</v>
      </c>
      <c r="C534" s="413">
        <v>0.11958933071160047</v>
      </c>
      <c r="D534" s="414">
        <v>0.12374311926605505</v>
      </c>
      <c r="E534" s="414">
        <v>0.23591301644556253</v>
      </c>
      <c r="F534" s="414">
        <v>0</v>
      </c>
      <c r="G534" s="414">
        <v>0</v>
      </c>
      <c r="H534" s="414">
        <v>0</v>
      </c>
      <c r="I534" s="414">
        <v>0</v>
      </c>
      <c r="J534" s="415">
        <v>0.13166454125500904</v>
      </c>
      <c r="K534" s="415">
        <v>0</v>
      </c>
      <c r="L534" s="414">
        <v>0</v>
      </c>
      <c r="M534" s="414">
        <v>0</v>
      </c>
      <c r="N534" s="414">
        <v>0</v>
      </c>
      <c r="O534" s="415">
        <v>0</v>
      </c>
      <c r="P534" s="415">
        <v>0</v>
      </c>
      <c r="Q534" s="414">
        <v>0</v>
      </c>
      <c r="R534" s="415">
        <v>0</v>
      </c>
      <c r="S534" s="415">
        <v>0</v>
      </c>
      <c r="T534" s="415">
        <v>0</v>
      </c>
      <c r="U534" s="415">
        <v>0.13166454125500904</v>
      </c>
      <c r="V534" s="421"/>
    </row>
    <row r="535" spans="1:22">
      <c r="A535" s="416"/>
      <c r="B535" s="417" t="s">
        <v>612</v>
      </c>
      <c r="C535" s="418">
        <v>0.13016170555896983</v>
      </c>
      <c r="D535" s="419">
        <v>0.15822393693422854</v>
      </c>
      <c r="E535" s="419">
        <v>0.29454743170183734</v>
      </c>
      <c r="F535" s="419">
        <v>0</v>
      </c>
      <c r="G535" s="419">
        <v>0</v>
      </c>
      <c r="H535" s="419">
        <v>0</v>
      </c>
      <c r="I535" s="419">
        <v>0</v>
      </c>
      <c r="J535" s="420">
        <v>0.15002613624015601</v>
      </c>
      <c r="K535" s="420">
        <v>0</v>
      </c>
      <c r="L535" s="419">
        <v>0</v>
      </c>
      <c r="M535" s="419">
        <v>0</v>
      </c>
      <c r="N535" s="419">
        <v>0</v>
      </c>
      <c r="O535" s="420">
        <v>0</v>
      </c>
      <c r="P535" s="420">
        <v>0</v>
      </c>
      <c r="Q535" s="419">
        <v>0</v>
      </c>
      <c r="R535" s="420">
        <v>0</v>
      </c>
      <c r="S535" s="420">
        <v>0</v>
      </c>
      <c r="T535" s="420">
        <v>0</v>
      </c>
      <c r="U535" s="420">
        <v>0.15002613624015601</v>
      </c>
      <c r="V535" s="421"/>
    </row>
    <row r="536" spans="1:22">
      <c r="A536" s="416"/>
      <c r="B536" s="422" t="s">
        <v>613</v>
      </c>
      <c r="C536" s="423">
        <v>1.0572374847369366</v>
      </c>
      <c r="D536" s="424">
        <v>3.4480817668173485</v>
      </c>
      <c r="E536" s="424">
        <v>5.8634415256274801</v>
      </c>
      <c r="F536" s="424">
        <v>0</v>
      </c>
      <c r="G536" s="424">
        <v>0</v>
      </c>
      <c r="H536" s="424">
        <v>0</v>
      </c>
      <c r="I536" s="424">
        <v>0</v>
      </c>
      <c r="J536" s="426">
        <v>1.8361594985146974</v>
      </c>
      <c r="K536" s="426">
        <v>0</v>
      </c>
      <c r="L536" s="424">
        <v>0</v>
      </c>
      <c r="M536" s="424">
        <v>0</v>
      </c>
      <c r="N536" s="424">
        <v>0</v>
      </c>
      <c r="O536" s="426">
        <v>0</v>
      </c>
      <c r="P536" s="426">
        <v>0</v>
      </c>
      <c r="Q536" s="424">
        <v>0</v>
      </c>
      <c r="R536" s="426">
        <v>0</v>
      </c>
      <c r="S536" s="426">
        <v>0</v>
      </c>
      <c r="T536" s="426">
        <v>0</v>
      </c>
      <c r="U536" s="426">
        <v>1.8361594985146974</v>
      </c>
      <c r="V536" s="421"/>
    </row>
    <row r="537" spans="1:22">
      <c r="A537" s="416"/>
      <c r="B537" s="394" t="s">
        <v>614</v>
      </c>
      <c r="C537" s="413">
        <v>3.1926311652860785E-2</v>
      </c>
      <c r="D537" s="414">
        <v>4.8929663608562695E-4</v>
      </c>
      <c r="E537" s="414">
        <v>2.3425942053589738E-2</v>
      </c>
      <c r="F537" s="414">
        <v>0</v>
      </c>
      <c r="G537" s="414">
        <v>0</v>
      </c>
      <c r="H537" s="414">
        <v>0</v>
      </c>
      <c r="I537" s="414">
        <v>0</v>
      </c>
      <c r="J537" s="415">
        <v>2.8695080478362708E-2</v>
      </c>
      <c r="K537" s="415">
        <v>0</v>
      </c>
      <c r="L537" s="414">
        <v>0</v>
      </c>
      <c r="M537" s="414">
        <v>0</v>
      </c>
      <c r="N537" s="414">
        <v>0</v>
      </c>
      <c r="O537" s="415">
        <v>0</v>
      </c>
      <c r="P537" s="415">
        <v>0</v>
      </c>
      <c r="Q537" s="414">
        <v>0</v>
      </c>
      <c r="R537" s="415">
        <v>0</v>
      </c>
      <c r="S537" s="415">
        <v>0</v>
      </c>
      <c r="T537" s="415">
        <v>0</v>
      </c>
      <c r="U537" s="415">
        <v>2.8695080478362708E-2</v>
      </c>
      <c r="V537" s="421"/>
    </row>
    <row r="538" spans="1:22">
      <c r="A538" s="416"/>
      <c r="B538" s="417" t="s">
        <v>615</v>
      </c>
      <c r="C538" s="418">
        <v>3.6012420151668084E-2</v>
      </c>
      <c r="D538" s="419">
        <v>0</v>
      </c>
      <c r="E538" s="419">
        <v>2.5411122623798434E-2</v>
      </c>
      <c r="F538" s="419">
        <v>0</v>
      </c>
      <c r="G538" s="419">
        <v>0</v>
      </c>
      <c r="H538" s="419">
        <v>0</v>
      </c>
      <c r="I538" s="419">
        <v>0</v>
      </c>
      <c r="J538" s="420">
        <v>3.2257381915094391E-2</v>
      </c>
      <c r="K538" s="420">
        <v>0</v>
      </c>
      <c r="L538" s="419">
        <v>0</v>
      </c>
      <c r="M538" s="419">
        <v>0</v>
      </c>
      <c r="N538" s="419">
        <v>0</v>
      </c>
      <c r="O538" s="420">
        <v>0</v>
      </c>
      <c r="P538" s="420">
        <v>0</v>
      </c>
      <c r="Q538" s="419">
        <v>0</v>
      </c>
      <c r="R538" s="420">
        <v>0</v>
      </c>
      <c r="S538" s="420">
        <v>0</v>
      </c>
      <c r="T538" s="420">
        <v>0</v>
      </c>
      <c r="U538" s="420">
        <v>3.2257381915094391E-2</v>
      </c>
      <c r="V538" s="421"/>
    </row>
    <row r="539" spans="1:22">
      <c r="A539" s="416"/>
      <c r="B539" s="422" t="s">
        <v>616</v>
      </c>
      <c r="C539" s="423">
        <v>0.40861084988072993</v>
      </c>
      <c r="D539" s="424">
        <v>-4.8929663608562692E-2</v>
      </c>
      <c r="E539" s="424">
        <v>0.19851805702086958</v>
      </c>
      <c r="F539" s="424">
        <v>0</v>
      </c>
      <c r="G539" s="424">
        <v>0</v>
      </c>
      <c r="H539" s="424">
        <v>0</v>
      </c>
      <c r="I539" s="424">
        <v>0</v>
      </c>
      <c r="J539" s="426">
        <v>0.35623014367316824</v>
      </c>
      <c r="K539" s="426">
        <v>0</v>
      </c>
      <c r="L539" s="424">
        <v>0</v>
      </c>
      <c r="M539" s="424">
        <v>0</v>
      </c>
      <c r="N539" s="424">
        <v>0</v>
      </c>
      <c r="O539" s="426">
        <v>0</v>
      </c>
      <c r="P539" s="426">
        <v>0</v>
      </c>
      <c r="Q539" s="424">
        <v>0</v>
      </c>
      <c r="R539" s="426">
        <v>0</v>
      </c>
      <c r="S539" s="426">
        <v>0</v>
      </c>
      <c r="T539" s="426">
        <v>0</v>
      </c>
      <c r="U539" s="426">
        <v>0.35623014367316824</v>
      </c>
      <c r="V539" s="421"/>
    </row>
    <row r="540" spans="1:22">
      <c r="A540" s="416"/>
      <c r="B540" s="394" t="s">
        <v>617</v>
      </c>
      <c r="C540" s="413">
        <v>2.1691271235261557E-3</v>
      </c>
      <c r="D540" s="414">
        <v>0</v>
      </c>
      <c r="E540" s="414">
        <v>0</v>
      </c>
      <c r="F540" s="414">
        <v>0</v>
      </c>
      <c r="G540" s="414">
        <v>0</v>
      </c>
      <c r="H540" s="414">
        <v>0</v>
      </c>
      <c r="I540" s="414">
        <v>0</v>
      </c>
      <c r="J540" s="415">
        <v>1.7803285029784086E-3</v>
      </c>
      <c r="K540" s="415">
        <v>0</v>
      </c>
      <c r="L540" s="414">
        <v>0</v>
      </c>
      <c r="M540" s="414">
        <v>0</v>
      </c>
      <c r="N540" s="414">
        <v>0</v>
      </c>
      <c r="O540" s="415">
        <v>0</v>
      </c>
      <c r="P540" s="415">
        <v>0</v>
      </c>
      <c r="Q540" s="414">
        <v>0</v>
      </c>
      <c r="R540" s="415">
        <v>0</v>
      </c>
      <c r="S540" s="415">
        <v>0</v>
      </c>
      <c r="T540" s="415">
        <v>0</v>
      </c>
      <c r="U540" s="415">
        <v>1.7803285029784086E-3</v>
      </c>
      <c r="V540" s="421"/>
    </row>
    <row r="541" spans="1:22">
      <c r="A541" s="416"/>
      <c r="B541" s="417" t="s">
        <v>618</v>
      </c>
      <c r="C541" s="418">
        <v>2.6052640052189277E-3</v>
      </c>
      <c r="D541" s="419">
        <v>0</v>
      </c>
      <c r="E541" s="419">
        <v>0</v>
      </c>
      <c r="F541" s="419">
        <v>0</v>
      </c>
      <c r="G541" s="419">
        <v>0</v>
      </c>
      <c r="H541" s="419">
        <v>0</v>
      </c>
      <c r="I541" s="419">
        <v>0</v>
      </c>
      <c r="J541" s="420">
        <v>2.1286452048291994E-3</v>
      </c>
      <c r="K541" s="420">
        <v>0</v>
      </c>
      <c r="L541" s="419">
        <v>0</v>
      </c>
      <c r="M541" s="419">
        <v>0</v>
      </c>
      <c r="N541" s="419">
        <v>0</v>
      </c>
      <c r="O541" s="420">
        <v>0</v>
      </c>
      <c r="P541" s="420">
        <v>0</v>
      </c>
      <c r="Q541" s="419">
        <v>0</v>
      </c>
      <c r="R541" s="420">
        <v>0</v>
      </c>
      <c r="S541" s="420">
        <v>0</v>
      </c>
      <c r="T541" s="420">
        <v>0</v>
      </c>
      <c r="U541" s="420">
        <v>2.1286452048291994E-3</v>
      </c>
      <c r="V541" s="421"/>
    </row>
    <row r="542" spans="1:22">
      <c r="A542" s="416"/>
      <c r="B542" s="422" t="s">
        <v>619</v>
      </c>
      <c r="C542" s="423">
        <v>4.3613688169277187E-2</v>
      </c>
      <c r="D542" s="424">
        <v>0</v>
      </c>
      <c r="E542" s="424">
        <v>0</v>
      </c>
      <c r="F542" s="424">
        <v>0</v>
      </c>
      <c r="G542" s="424">
        <v>0</v>
      </c>
      <c r="H542" s="424">
        <v>0</v>
      </c>
      <c r="I542" s="424">
        <v>0</v>
      </c>
      <c r="J542" s="426">
        <v>3.4831670185079079E-2</v>
      </c>
      <c r="K542" s="426">
        <v>0</v>
      </c>
      <c r="L542" s="424">
        <v>0</v>
      </c>
      <c r="M542" s="424">
        <v>0</v>
      </c>
      <c r="N542" s="424">
        <v>0</v>
      </c>
      <c r="O542" s="426">
        <v>0</v>
      </c>
      <c r="P542" s="426">
        <v>0</v>
      </c>
      <c r="Q542" s="424">
        <v>0</v>
      </c>
      <c r="R542" s="426">
        <v>0</v>
      </c>
      <c r="S542" s="426">
        <v>0</v>
      </c>
      <c r="T542" s="426">
        <v>0</v>
      </c>
      <c r="U542" s="426">
        <v>3.4831670185079079E-2</v>
      </c>
      <c r="V542" s="421"/>
    </row>
    <row r="543" spans="1:22">
      <c r="A543" s="416"/>
      <c r="B543" s="394" t="s">
        <v>620</v>
      </c>
      <c r="C543" s="413">
        <v>0</v>
      </c>
      <c r="D543" s="414">
        <v>0</v>
      </c>
      <c r="E543" s="414">
        <v>0</v>
      </c>
      <c r="F543" s="414">
        <v>0</v>
      </c>
      <c r="G543" s="414">
        <v>0</v>
      </c>
      <c r="H543" s="414">
        <v>0</v>
      </c>
      <c r="I543" s="414">
        <v>0</v>
      </c>
      <c r="J543" s="415">
        <v>0</v>
      </c>
      <c r="K543" s="415">
        <v>0</v>
      </c>
      <c r="L543" s="414">
        <v>0</v>
      </c>
      <c r="M543" s="414">
        <v>0</v>
      </c>
      <c r="N543" s="414">
        <v>0</v>
      </c>
      <c r="O543" s="415">
        <v>0</v>
      </c>
      <c r="P543" s="415">
        <v>0</v>
      </c>
      <c r="Q543" s="414">
        <v>0</v>
      </c>
      <c r="R543" s="415">
        <v>0</v>
      </c>
      <c r="S543" s="415">
        <v>0</v>
      </c>
      <c r="T543" s="415">
        <v>0</v>
      </c>
      <c r="U543" s="415">
        <v>0</v>
      </c>
      <c r="V543" s="421"/>
    </row>
    <row r="544" spans="1:22">
      <c r="A544" s="416"/>
      <c r="B544" s="417" t="s">
        <v>621</v>
      </c>
      <c r="C544" s="418">
        <v>0</v>
      </c>
      <c r="D544" s="419">
        <v>0</v>
      </c>
      <c r="E544" s="419">
        <v>0</v>
      </c>
      <c r="F544" s="419">
        <v>0</v>
      </c>
      <c r="G544" s="419">
        <v>0</v>
      </c>
      <c r="H544" s="419">
        <v>0</v>
      </c>
      <c r="I544" s="419">
        <v>0</v>
      </c>
      <c r="J544" s="420">
        <v>0</v>
      </c>
      <c r="K544" s="420">
        <v>0</v>
      </c>
      <c r="L544" s="419">
        <v>0</v>
      </c>
      <c r="M544" s="419">
        <v>0</v>
      </c>
      <c r="N544" s="419">
        <v>0</v>
      </c>
      <c r="O544" s="420">
        <v>0</v>
      </c>
      <c r="P544" s="420">
        <v>0</v>
      </c>
      <c r="Q544" s="419">
        <v>0</v>
      </c>
      <c r="R544" s="420">
        <v>0</v>
      </c>
      <c r="S544" s="420">
        <v>0</v>
      </c>
      <c r="T544" s="420">
        <v>0</v>
      </c>
      <c r="U544" s="420">
        <v>0</v>
      </c>
      <c r="V544" s="421"/>
    </row>
    <row r="545" spans="1:22" ht="15" thickBot="1">
      <c r="A545" s="432"/>
      <c r="B545" s="433" t="s">
        <v>622</v>
      </c>
      <c r="C545" s="434">
        <v>0</v>
      </c>
      <c r="D545" s="435">
        <v>0</v>
      </c>
      <c r="E545" s="435">
        <v>0</v>
      </c>
      <c r="F545" s="435">
        <v>0</v>
      </c>
      <c r="G545" s="435">
        <v>0</v>
      </c>
      <c r="H545" s="435">
        <v>0</v>
      </c>
      <c r="I545" s="435">
        <v>0</v>
      </c>
      <c r="J545" s="436">
        <v>0</v>
      </c>
      <c r="K545" s="436">
        <v>0</v>
      </c>
      <c r="L545" s="435">
        <v>0</v>
      </c>
      <c r="M545" s="435">
        <v>0</v>
      </c>
      <c r="N545" s="435">
        <v>0</v>
      </c>
      <c r="O545" s="436">
        <v>0</v>
      </c>
      <c r="P545" s="436">
        <v>0</v>
      </c>
      <c r="Q545" s="435">
        <v>0</v>
      </c>
      <c r="R545" s="436">
        <v>0</v>
      </c>
      <c r="S545" s="436">
        <v>0</v>
      </c>
      <c r="T545" s="436">
        <v>0</v>
      </c>
      <c r="U545" s="436">
        <v>0</v>
      </c>
      <c r="V545" s="421"/>
    </row>
    <row r="546" spans="1:22">
      <c r="A546" s="412" t="s">
        <v>525</v>
      </c>
      <c r="B546" s="394" t="s">
        <v>587</v>
      </c>
      <c r="C546" s="413">
        <v>0.87792328158582278</v>
      </c>
      <c r="D546" s="414">
        <v>0</v>
      </c>
      <c r="E546" s="414">
        <v>0.72522633119375823</v>
      </c>
      <c r="F546" s="414">
        <v>0</v>
      </c>
      <c r="G546" s="414">
        <v>0.80276831747142841</v>
      </c>
      <c r="H546" s="414">
        <v>0.59485954454798473</v>
      </c>
      <c r="I546" s="414">
        <v>0</v>
      </c>
      <c r="J546" s="415">
        <v>0.79557047375518597</v>
      </c>
      <c r="K546" s="415">
        <v>0.61431555269922877</v>
      </c>
      <c r="L546" s="414">
        <v>0</v>
      </c>
      <c r="M546" s="414">
        <v>0.6213601123252549</v>
      </c>
      <c r="N546" s="414">
        <v>0.54620465849532351</v>
      </c>
      <c r="O546" s="415">
        <v>0.57558638192409572</v>
      </c>
      <c r="P546" s="415">
        <v>0</v>
      </c>
      <c r="Q546" s="414">
        <v>0</v>
      </c>
      <c r="R546" s="415">
        <v>0</v>
      </c>
      <c r="S546" s="415">
        <v>0</v>
      </c>
      <c r="T546" s="415">
        <v>0</v>
      </c>
      <c r="U546" s="415">
        <v>0.74848128750448129</v>
      </c>
      <c r="V546" s="421"/>
    </row>
    <row r="547" spans="1:22">
      <c r="A547" s="416"/>
      <c r="B547" s="417" t="s">
        <v>588</v>
      </c>
      <c r="C547" s="418">
        <v>0.85922541554081722</v>
      </c>
      <c r="D547" s="419">
        <v>0</v>
      </c>
      <c r="E547" s="419">
        <v>0.70872691271464272</v>
      </c>
      <c r="F547" s="419">
        <v>0</v>
      </c>
      <c r="G547" s="419">
        <v>0.7840729168126217</v>
      </c>
      <c r="H547" s="419">
        <v>0.54963820712782596</v>
      </c>
      <c r="I547" s="419">
        <v>0</v>
      </c>
      <c r="J547" s="420">
        <v>0.77320973591010578</v>
      </c>
      <c r="K547" s="420">
        <v>0.56021602368396706</v>
      </c>
      <c r="L547" s="419">
        <v>0</v>
      </c>
      <c r="M547" s="419">
        <v>0.63479458342896489</v>
      </c>
      <c r="N547" s="419">
        <v>0.51645183254678217</v>
      </c>
      <c r="O547" s="420">
        <v>0.54802868562593554</v>
      </c>
      <c r="P547" s="420">
        <v>0</v>
      </c>
      <c r="Q547" s="419">
        <v>0</v>
      </c>
      <c r="R547" s="420">
        <v>0</v>
      </c>
      <c r="S547" s="420">
        <v>0</v>
      </c>
      <c r="T547" s="420">
        <v>0</v>
      </c>
      <c r="U547" s="420">
        <v>0.72446338177782788</v>
      </c>
      <c r="V547" s="421"/>
    </row>
    <row r="548" spans="1:22">
      <c r="A548" s="416"/>
      <c r="B548" s="422" t="s">
        <v>589</v>
      </c>
      <c r="C548" s="423">
        <v>-1.8697866045005562</v>
      </c>
      <c r="D548" s="424">
        <v>0</v>
      </c>
      <c r="E548" s="424">
        <v>-1.6499418479115513</v>
      </c>
      <c r="F548" s="424">
        <v>0</v>
      </c>
      <c r="G548" s="424">
        <v>-1.8695400658806705</v>
      </c>
      <c r="H548" s="424">
        <v>-4.5221337420158765</v>
      </c>
      <c r="I548" s="424">
        <v>0</v>
      </c>
      <c r="J548" s="426">
        <v>-2.2360737845080192</v>
      </c>
      <c r="K548" s="426">
        <v>-5.4099529015261716</v>
      </c>
      <c r="L548" s="424">
        <v>0</v>
      </c>
      <c r="M548" s="424">
        <v>1.3434471103709988</v>
      </c>
      <c r="N548" s="424">
        <v>-2.9752825948541339</v>
      </c>
      <c r="O548" s="426">
        <v>-2.7557696298160184</v>
      </c>
      <c r="P548" s="426">
        <v>0</v>
      </c>
      <c r="Q548" s="424">
        <v>0</v>
      </c>
      <c r="R548" s="426">
        <v>0</v>
      </c>
      <c r="S548" s="426">
        <v>0</v>
      </c>
      <c r="T548" s="426">
        <v>0</v>
      </c>
      <c r="U548" s="426">
        <v>-2.401790572665341</v>
      </c>
      <c r="V548" s="421"/>
    </row>
    <row r="549" spans="1:22">
      <c r="A549" s="416"/>
      <c r="B549" s="394" t="s">
        <v>590</v>
      </c>
      <c r="C549" s="413">
        <v>5.3148395241253126E-3</v>
      </c>
      <c r="D549" s="414">
        <v>0</v>
      </c>
      <c r="E549" s="414">
        <v>9.768388069822638E-2</v>
      </c>
      <c r="F549" s="414">
        <v>0</v>
      </c>
      <c r="G549" s="414">
        <v>2.9170648969537066E-2</v>
      </c>
      <c r="H549" s="414">
        <v>0.12432532930690615</v>
      </c>
      <c r="I549" s="414">
        <v>0</v>
      </c>
      <c r="J549" s="415">
        <v>4.3570149517696735E-2</v>
      </c>
      <c r="K549" s="415">
        <v>6.7698769739258174E-2</v>
      </c>
      <c r="L549" s="414">
        <v>0</v>
      </c>
      <c r="M549" s="414">
        <v>0.14373359379769246</v>
      </c>
      <c r="N549" s="414">
        <v>0.12283289618645045</v>
      </c>
      <c r="O549" s="415">
        <v>0.11353988262891744</v>
      </c>
      <c r="P549" s="415">
        <v>0</v>
      </c>
      <c r="Q549" s="414">
        <v>0</v>
      </c>
      <c r="R549" s="415">
        <v>0</v>
      </c>
      <c r="S549" s="415">
        <v>0</v>
      </c>
      <c r="T549" s="415">
        <v>0</v>
      </c>
      <c r="U549" s="415">
        <v>5.8547677060534792E-2</v>
      </c>
      <c r="V549" s="421"/>
    </row>
    <row r="550" spans="1:22">
      <c r="A550" s="416"/>
      <c r="B550" s="417" t="s">
        <v>591</v>
      </c>
      <c r="C550" s="418">
        <v>8.8528617047408491E-3</v>
      </c>
      <c r="D550" s="419">
        <v>0</v>
      </c>
      <c r="E550" s="419">
        <v>9.7449443308339018E-2</v>
      </c>
      <c r="F550" s="419">
        <v>0</v>
      </c>
      <c r="G550" s="419">
        <v>2.3963485546946155E-2</v>
      </c>
      <c r="H550" s="419">
        <v>0.15844614744044203</v>
      </c>
      <c r="I550" s="419">
        <v>0</v>
      </c>
      <c r="J550" s="420">
        <v>4.8794675181851509E-2</v>
      </c>
      <c r="K550" s="420">
        <v>7.198862059394949E-2</v>
      </c>
      <c r="L550" s="419">
        <v>0</v>
      </c>
      <c r="M550" s="419">
        <v>0.13581210312906433</v>
      </c>
      <c r="N550" s="419">
        <v>0.13435232795661056</v>
      </c>
      <c r="O550" s="420">
        <v>0.11983047409137512</v>
      </c>
      <c r="P550" s="420">
        <v>0</v>
      </c>
      <c r="Q550" s="419">
        <v>0</v>
      </c>
      <c r="R550" s="420">
        <v>0</v>
      </c>
      <c r="S550" s="420">
        <v>0</v>
      </c>
      <c r="T550" s="420">
        <v>0</v>
      </c>
      <c r="U550" s="420">
        <v>6.4172240058394503E-2</v>
      </c>
      <c r="V550" s="421"/>
    </row>
    <row r="551" spans="1:22">
      <c r="A551" s="416"/>
      <c r="B551" s="422" t="s">
        <v>592</v>
      </c>
      <c r="C551" s="423">
        <v>0.35380221806155365</v>
      </c>
      <c r="D551" s="424">
        <v>0</v>
      </c>
      <c r="E551" s="424">
        <v>-2.3443738988736251E-2</v>
      </c>
      <c r="F551" s="424">
        <v>0</v>
      </c>
      <c r="G551" s="424">
        <v>-0.52071634225909114</v>
      </c>
      <c r="H551" s="424">
        <v>3.4120818133535873</v>
      </c>
      <c r="I551" s="424">
        <v>0</v>
      </c>
      <c r="J551" s="426">
        <v>0.52245256641547733</v>
      </c>
      <c r="K551" s="426">
        <v>0.42898508546913156</v>
      </c>
      <c r="L551" s="424">
        <v>0</v>
      </c>
      <c r="M551" s="424">
        <v>-0.79214906686281283</v>
      </c>
      <c r="N551" s="424">
        <v>1.1519431770160113</v>
      </c>
      <c r="O551" s="426">
        <v>0.6290591462457682</v>
      </c>
      <c r="P551" s="426">
        <v>0</v>
      </c>
      <c r="Q551" s="424">
        <v>0</v>
      </c>
      <c r="R551" s="426">
        <v>0</v>
      </c>
      <c r="S551" s="426">
        <v>0</v>
      </c>
      <c r="T551" s="426">
        <v>0</v>
      </c>
      <c r="U551" s="426">
        <v>0.56245629978597111</v>
      </c>
      <c r="V551" s="421"/>
    </row>
    <row r="552" spans="1:22">
      <c r="A552" s="416"/>
      <c r="B552" s="394" t="s">
        <v>593</v>
      </c>
      <c r="C552" s="413">
        <v>0.112955520577825</v>
      </c>
      <c r="D552" s="414">
        <v>0</v>
      </c>
      <c r="E552" s="414">
        <v>0.16275970116098257</v>
      </c>
      <c r="F552" s="414">
        <v>0</v>
      </c>
      <c r="G552" s="414">
        <v>0.1646788805578365</v>
      </c>
      <c r="H552" s="414">
        <v>0.27613891173786154</v>
      </c>
      <c r="I552" s="414">
        <v>0</v>
      </c>
      <c r="J552" s="415">
        <v>0.15504226140910665</v>
      </c>
      <c r="K552" s="415">
        <v>0.31796272493573263</v>
      </c>
      <c r="L552" s="414">
        <v>0</v>
      </c>
      <c r="M552" s="414">
        <v>0.2349062938770527</v>
      </c>
      <c r="N552" s="414">
        <v>0.31058325689024924</v>
      </c>
      <c r="O552" s="415">
        <v>0.29890664696953712</v>
      </c>
      <c r="P552" s="415">
        <v>0</v>
      </c>
      <c r="Q552" s="414">
        <v>0</v>
      </c>
      <c r="R552" s="415">
        <v>0</v>
      </c>
      <c r="S552" s="415">
        <v>0</v>
      </c>
      <c r="T552" s="415">
        <v>0</v>
      </c>
      <c r="U552" s="415">
        <v>0.18583747387246927</v>
      </c>
      <c r="V552" s="421"/>
    </row>
    <row r="553" spans="1:22">
      <c r="A553" s="416"/>
      <c r="B553" s="417" t="s">
        <v>594</v>
      </c>
      <c r="C553" s="418">
        <v>0.12823057397854745</v>
      </c>
      <c r="D553" s="419">
        <v>0</v>
      </c>
      <c r="E553" s="419">
        <v>0.17858765864900833</v>
      </c>
      <c r="F553" s="419">
        <v>0</v>
      </c>
      <c r="G553" s="419">
        <v>0.18719261864394907</v>
      </c>
      <c r="H553" s="419">
        <v>0.29121231558691468</v>
      </c>
      <c r="I553" s="419">
        <v>0</v>
      </c>
      <c r="J553" s="420">
        <v>0.1723181257706535</v>
      </c>
      <c r="K553" s="420">
        <v>0.36761032472939215</v>
      </c>
      <c r="L553" s="419">
        <v>0</v>
      </c>
      <c r="M553" s="419">
        <v>0.22939331344197078</v>
      </c>
      <c r="N553" s="419">
        <v>0.32906482590218589</v>
      </c>
      <c r="O553" s="420">
        <v>0.32034475385298616</v>
      </c>
      <c r="P553" s="420">
        <v>0</v>
      </c>
      <c r="Q553" s="419">
        <v>0</v>
      </c>
      <c r="R553" s="420">
        <v>0</v>
      </c>
      <c r="S553" s="420">
        <v>0</v>
      </c>
      <c r="T553" s="420">
        <v>0</v>
      </c>
      <c r="U553" s="420">
        <v>0.20436237827059683</v>
      </c>
      <c r="V553" s="421"/>
    </row>
    <row r="554" spans="1:22">
      <c r="A554" s="416"/>
      <c r="B554" s="422" t="s">
        <v>595</v>
      </c>
      <c r="C554" s="423">
        <v>1.5275053400722451</v>
      </c>
      <c r="D554" s="424">
        <v>0</v>
      </c>
      <c r="E554" s="424">
        <v>1.5827957488025763</v>
      </c>
      <c r="F554" s="424">
        <v>0</v>
      </c>
      <c r="G554" s="424">
        <v>2.2513738086112567</v>
      </c>
      <c r="H554" s="424">
        <v>1.5073403849053146</v>
      </c>
      <c r="I554" s="424">
        <v>0</v>
      </c>
      <c r="J554" s="426">
        <v>1.7275864361546849</v>
      </c>
      <c r="K554" s="426">
        <v>4.9647599793659509</v>
      </c>
      <c r="L554" s="424">
        <v>0</v>
      </c>
      <c r="M554" s="424">
        <v>-0.55129804350819156</v>
      </c>
      <c r="N554" s="424">
        <v>1.8481569011936649</v>
      </c>
      <c r="O554" s="426">
        <v>2.1438106883449048</v>
      </c>
      <c r="P554" s="426">
        <v>0</v>
      </c>
      <c r="Q554" s="424">
        <v>0</v>
      </c>
      <c r="R554" s="426">
        <v>0</v>
      </c>
      <c r="S554" s="426">
        <v>0</v>
      </c>
      <c r="T554" s="426">
        <v>0</v>
      </c>
      <c r="U554" s="426">
        <v>1.8524904398127569</v>
      </c>
      <c r="V554" s="421"/>
    </row>
    <row r="555" spans="1:22">
      <c r="A555" s="416"/>
      <c r="B555" s="394" t="s">
        <v>596</v>
      </c>
      <c r="C555" s="413">
        <v>0</v>
      </c>
      <c r="D555" s="414">
        <v>0</v>
      </c>
      <c r="E555" s="414">
        <v>1.433008694703285E-2</v>
      </c>
      <c r="F555" s="414">
        <v>0</v>
      </c>
      <c r="G555" s="414">
        <v>3.3821530011980561E-3</v>
      </c>
      <c r="H555" s="414">
        <v>4.6762144072475687E-3</v>
      </c>
      <c r="I555" s="414">
        <v>0</v>
      </c>
      <c r="J555" s="415">
        <v>4.0618114559000168E-3</v>
      </c>
      <c r="K555" s="415">
        <v>0</v>
      </c>
      <c r="L555" s="414">
        <v>0</v>
      </c>
      <c r="M555" s="414">
        <v>0</v>
      </c>
      <c r="N555" s="414">
        <v>2.0379188427976785E-2</v>
      </c>
      <c r="O555" s="415">
        <v>1.1961677178115623E-2</v>
      </c>
      <c r="P555" s="415">
        <v>0</v>
      </c>
      <c r="Q555" s="414">
        <v>0</v>
      </c>
      <c r="R555" s="415">
        <v>0</v>
      </c>
      <c r="S555" s="415">
        <v>0</v>
      </c>
      <c r="T555" s="415">
        <v>0</v>
      </c>
      <c r="U555" s="415">
        <v>5.7528348624225154E-3</v>
      </c>
      <c r="V555" s="421"/>
    </row>
    <row r="556" spans="1:22">
      <c r="A556" s="416"/>
      <c r="B556" s="417" t="s">
        <v>597</v>
      </c>
      <c r="C556" s="418">
        <v>0</v>
      </c>
      <c r="D556" s="419">
        <v>0</v>
      </c>
      <c r="E556" s="419">
        <v>1.5235985328009868E-2</v>
      </c>
      <c r="F556" s="419">
        <v>0</v>
      </c>
      <c r="G556" s="419">
        <v>4.7499614678641984E-3</v>
      </c>
      <c r="H556" s="419">
        <v>6.9207656730022624E-4</v>
      </c>
      <c r="I556" s="419">
        <v>0</v>
      </c>
      <c r="J556" s="420">
        <v>3.9642265289614245E-3</v>
      </c>
      <c r="K556" s="420">
        <v>0</v>
      </c>
      <c r="L556" s="419">
        <v>0</v>
      </c>
      <c r="M556" s="419">
        <v>0</v>
      </c>
      <c r="N556" s="419">
        <v>2.0131013594421356E-2</v>
      </c>
      <c r="O556" s="420">
        <v>1.1752224616346202E-2</v>
      </c>
      <c r="P556" s="420">
        <v>0</v>
      </c>
      <c r="Q556" s="419">
        <v>0</v>
      </c>
      <c r="R556" s="420">
        <v>0</v>
      </c>
      <c r="S556" s="420">
        <v>0</v>
      </c>
      <c r="T556" s="420">
        <v>0</v>
      </c>
      <c r="U556" s="420">
        <v>5.6501433157872876E-3</v>
      </c>
      <c r="V556" s="421"/>
    </row>
    <row r="557" spans="1:22">
      <c r="A557" s="416"/>
      <c r="B557" s="422" t="s">
        <v>598</v>
      </c>
      <c r="C557" s="423">
        <v>0</v>
      </c>
      <c r="D557" s="424">
        <v>0</v>
      </c>
      <c r="E557" s="424">
        <v>9.0589838097701769E-2</v>
      </c>
      <c r="F557" s="424">
        <v>0</v>
      </c>
      <c r="G557" s="424">
        <v>0.13678084666661422</v>
      </c>
      <c r="H557" s="424">
        <v>-0.39841378399473421</v>
      </c>
      <c r="I557" s="424">
        <v>0</v>
      </c>
      <c r="J557" s="426">
        <v>-9.7584926938592241E-3</v>
      </c>
      <c r="K557" s="426">
        <v>0</v>
      </c>
      <c r="L557" s="424">
        <v>0</v>
      </c>
      <c r="M557" s="424">
        <v>0</v>
      </c>
      <c r="N557" s="424">
        <v>-2.4817483355542985E-2</v>
      </c>
      <c r="O557" s="426">
        <v>-2.0945256176942151E-2</v>
      </c>
      <c r="P557" s="426">
        <v>0</v>
      </c>
      <c r="Q557" s="424">
        <v>0</v>
      </c>
      <c r="R557" s="426">
        <v>0</v>
      </c>
      <c r="S557" s="426">
        <v>0</v>
      </c>
      <c r="T557" s="426">
        <v>0</v>
      </c>
      <c r="U557" s="426">
        <v>-1.0269154663522777E-2</v>
      </c>
      <c r="V557" s="421"/>
    </row>
    <row r="558" spans="1:22">
      <c r="A558" s="416"/>
      <c r="B558" s="394" t="s">
        <v>599</v>
      </c>
      <c r="C558" s="413">
        <v>3.8063583122268474E-3</v>
      </c>
      <c r="D558" s="414">
        <v>0</v>
      </c>
      <c r="E558" s="414">
        <v>0</v>
      </c>
      <c r="F558" s="414">
        <v>0</v>
      </c>
      <c r="G558" s="414">
        <v>0</v>
      </c>
      <c r="H558" s="414">
        <v>0</v>
      </c>
      <c r="I558" s="414">
        <v>0</v>
      </c>
      <c r="J558" s="415">
        <v>1.7553038621106387E-3</v>
      </c>
      <c r="K558" s="415">
        <v>2.2952625780389275E-5</v>
      </c>
      <c r="L558" s="414">
        <v>0</v>
      </c>
      <c r="M558" s="414">
        <v>0</v>
      </c>
      <c r="N558" s="414">
        <v>0</v>
      </c>
      <c r="O558" s="415">
        <v>5.411299334139617E-6</v>
      </c>
      <c r="P558" s="415">
        <v>0</v>
      </c>
      <c r="Q558" s="414">
        <v>0</v>
      </c>
      <c r="R558" s="415">
        <v>0</v>
      </c>
      <c r="S558" s="415">
        <v>0</v>
      </c>
      <c r="T558" s="415">
        <v>0</v>
      </c>
      <c r="U558" s="415">
        <v>1.3807267000921449E-3</v>
      </c>
      <c r="V558" s="421"/>
    </row>
    <row r="559" spans="1:22">
      <c r="A559" s="416"/>
      <c r="B559" s="417" t="s">
        <v>600</v>
      </c>
      <c r="C559" s="418">
        <v>3.6911487758945387E-3</v>
      </c>
      <c r="D559" s="419">
        <v>0</v>
      </c>
      <c r="E559" s="419">
        <v>0</v>
      </c>
      <c r="F559" s="419">
        <v>0</v>
      </c>
      <c r="G559" s="419">
        <v>2.1017528618868136E-5</v>
      </c>
      <c r="H559" s="419">
        <v>1.1253277517076848E-5</v>
      </c>
      <c r="I559" s="419">
        <v>0</v>
      </c>
      <c r="J559" s="420">
        <v>1.7132366084277304E-3</v>
      </c>
      <c r="K559" s="420">
        <v>1.8503099269127579E-4</v>
      </c>
      <c r="L559" s="419">
        <v>0</v>
      </c>
      <c r="M559" s="419">
        <v>0</v>
      </c>
      <c r="N559" s="419">
        <v>0</v>
      </c>
      <c r="O559" s="420">
        <v>4.3861813357018712E-5</v>
      </c>
      <c r="P559" s="420">
        <v>0</v>
      </c>
      <c r="Q559" s="419">
        <v>0</v>
      </c>
      <c r="R559" s="420">
        <v>0</v>
      </c>
      <c r="S559" s="420">
        <v>0</v>
      </c>
      <c r="T559" s="420">
        <v>0</v>
      </c>
      <c r="U559" s="420">
        <v>1.3518565773934924E-3</v>
      </c>
      <c r="V559" s="421"/>
    </row>
    <row r="560" spans="1:22">
      <c r="A560" s="416"/>
      <c r="B560" s="422" t="s">
        <v>601</v>
      </c>
      <c r="C560" s="423">
        <v>-1.1520953633230866E-2</v>
      </c>
      <c r="D560" s="424">
        <v>0</v>
      </c>
      <c r="E560" s="424">
        <v>0</v>
      </c>
      <c r="F560" s="424">
        <v>0</v>
      </c>
      <c r="G560" s="424">
        <v>0</v>
      </c>
      <c r="H560" s="424">
        <v>0</v>
      </c>
      <c r="I560" s="424">
        <v>0</v>
      </c>
      <c r="J560" s="426">
        <v>-4.2067253682908246E-3</v>
      </c>
      <c r="K560" s="426">
        <v>1.6207836691088651E-2</v>
      </c>
      <c r="L560" s="424">
        <v>0</v>
      </c>
      <c r="M560" s="424">
        <v>0</v>
      </c>
      <c r="N560" s="424">
        <v>0</v>
      </c>
      <c r="O560" s="426">
        <v>3.84505140228791E-3</v>
      </c>
      <c r="P560" s="426">
        <v>0</v>
      </c>
      <c r="Q560" s="424">
        <v>0</v>
      </c>
      <c r="R560" s="426">
        <v>0</v>
      </c>
      <c r="S560" s="426">
        <v>0</v>
      </c>
      <c r="T560" s="426">
        <v>0</v>
      </c>
      <c r="U560" s="426">
        <v>-2.8870122698652521E-3</v>
      </c>
      <c r="V560" s="421"/>
    </row>
    <row r="561" spans="1:22">
      <c r="A561" s="416"/>
      <c r="B561" s="394" t="s">
        <v>602</v>
      </c>
      <c r="C561" s="413">
        <v>0</v>
      </c>
      <c r="D561" s="414">
        <v>0</v>
      </c>
      <c r="E561" s="414">
        <v>0</v>
      </c>
      <c r="F561" s="414">
        <v>0</v>
      </c>
      <c r="G561" s="414">
        <v>0</v>
      </c>
      <c r="H561" s="414">
        <v>0</v>
      </c>
      <c r="I561" s="414">
        <v>0</v>
      </c>
      <c r="J561" s="415">
        <v>0</v>
      </c>
      <c r="K561" s="415">
        <v>0</v>
      </c>
      <c r="L561" s="414">
        <v>0</v>
      </c>
      <c r="M561" s="414">
        <v>0</v>
      </c>
      <c r="N561" s="414">
        <v>0</v>
      </c>
      <c r="O561" s="415">
        <v>0</v>
      </c>
      <c r="P561" s="415">
        <v>0</v>
      </c>
      <c r="Q561" s="414">
        <v>0</v>
      </c>
      <c r="R561" s="415">
        <v>0</v>
      </c>
      <c r="S561" s="415">
        <v>0</v>
      </c>
      <c r="T561" s="415">
        <v>0</v>
      </c>
      <c r="U561" s="415">
        <v>0</v>
      </c>
      <c r="V561" s="421"/>
    </row>
    <row r="562" spans="1:22">
      <c r="A562" s="416"/>
      <c r="B562" s="417" t="s">
        <v>603</v>
      </c>
      <c r="C562" s="418">
        <v>0</v>
      </c>
      <c r="D562" s="419">
        <v>0</v>
      </c>
      <c r="E562" s="419">
        <v>0</v>
      </c>
      <c r="F562" s="419">
        <v>0</v>
      </c>
      <c r="G562" s="419">
        <v>0</v>
      </c>
      <c r="H562" s="419">
        <v>0</v>
      </c>
      <c r="I562" s="419">
        <v>0</v>
      </c>
      <c r="J562" s="420">
        <v>0</v>
      </c>
      <c r="K562" s="420">
        <v>0</v>
      </c>
      <c r="L562" s="419">
        <v>0</v>
      </c>
      <c r="M562" s="419">
        <v>0</v>
      </c>
      <c r="N562" s="419">
        <v>0</v>
      </c>
      <c r="O562" s="420">
        <v>0</v>
      </c>
      <c r="P562" s="420">
        <v>0</v>
      </c>
      <c r="Q562" s="419">
        <v>0</v>
      </c>
      <c r="R562" s="420">
        <v>0</v>
      </c>
      <c r="S562" s="420">
        <v>0</v>
      </c>
      <c r="T562" s="420">
        <v>0</v>
      </c>
      <c r="U562" s="420">
        <v>0</v>
      </c>
      <c r="V562" s="421"/>
    </row>
    <row r="563" spans="1:22" ht="15" thickBot="1">
      <c r="A563" s="416"/>
      <c r="B563" s="428" t="s">
        <v>604</v>
      </c>
      <c r="C563" s="429">
        <v>0</v>
      </c>
      <c r="D563" s="430">
        <v>0</v>
      </c>
      <c r="E563" s="430">
        <v>0</v>
      </c>
      <c r="F563" s="430">
        <v>0</v>
      </c>
      <c r="G563" s="430">
        <v>0</v>
      </c>
      <c r="H563" s="430">
        <v>0</v>
      </c>
      <c r="I563" s="430">
        <v>0</v>
      </c>
      <c r="J563" s="431">
        <v>0</v>
      </c>
      <c r="K563" s="431">
        <v>0</v>
      </c>
      <c r="L563" s="430">
        <v>0</v>
      </c>
      <c r="M563" s="430">
        <v>0</v>
      </c>
      <c r="N563" s="430">
        <v>0</v>
      </c>
      <c r="O563" s="431">
        <v>0</v>
      </c>
      <c r="P563" s="431">
        <v>0</v>
      </c>
      <c r="Q563" s="430">
        <v>0</v>
      </c>
      <c r="R563" s="431">
        <v>0</v>
      </c>
      <c r="S563" s="431">
        <v>0</v>
      </c>
      <c r="T563" s="431">
        <v>0</v>
      </c>
      <c r="U563" s="431">
        <v>0</v>
      </c>
      <c r="V563" s="421"/>
    </row>
    <row r="564" spans="1:22" ht="15" thickTop="1">
      <c r="A564" s="416"/>
      <c r="B564" s="417" t="s">
        <v>605</v>
      </c>
      <c r="C564" s="418">
        <v>0.67397260273972603</v>
      </c>
      <c r="D564" s="419">
        <v>0</v>
      </c>
      <c r="E564" s="419">
        <v>0.51809433850876674</v>
      </c>
      <c r="F564" s="419">
        <v>0</v>
      </c>
      <c r="G564" s="419">
        <v>0.40743564445241726</v>
      </c>
      <c r="H564" s="419">
        <v>0.70963541666666663</v>
      </c>
      <c r="I564" s="419">
        <v>0</v>
      </c>
      <c r="J564" s="420">
        <v>0.58196730495579785</v>
      </c>
      <c r="K564" s="420">
        <v>0</v>
      </c>
      <c r="L564" s="419">
        <v>0</v>
      </c>
      <c r="M564" s="419">
        <v>0</v>
      </c>
      <c r="N564" s="419">
        <v>0</v>
      </c>
      <c r="O564" s="420">
        <v>0</v>
      </c>
      <c r="P564" s="420">
        <v>0</v>
      </c>
      <c r="Q564" s="419">
        <v>0</v>
      </c>
      <c r="R564" s="420">
        <v>0</v>
      </c>
      <c r="S564" s="420">
        <v>0</v>
      </c>
      <c r="T564" s="420">
        <v>0</v>
      </c>
      <c r="U564" s="420">
        <v>0.58196730495579785</v>
      </c>
      <c r="V564" s="421"/>
    </row>
    <row r="565" spans="1:22">
      <c r="A565" s="416"/>
      <c r="B565" s="417" t="s">
        <v>606</v>
      </c>
      <c r="C565" s="418">
        <v>0.68003117221485565</v>
      </c>
      <c r="D565" s="419">
        <v>0</v>
      </c>
      <c r="E565" s="419">
        <v>0.49083499899285704</v>
      </c>
      <c r="F565" s="419">
        <v>0</v>
      </c>
      <c r="G565" s="419">
        <v>0.39282775347568105</v>
      </c>
      <c r="H565" s="419">
        <v>0.73956180239768499</v>
      </c>
      <c r="I565" s="419">
        <v>0</v>
      </c>
      <c r="J565" s="420">
        <v>0.57380653444759433</v>
      </c>
      <c r="K565" s="420">
        <v>0</v>
      </c>
      <c r="L565" s="419">
        <v>0</v>
      </c>
      <c r="M565" s="419">
        <v>0</v>
      </c>
      <c r="N565" s="419">
        <v>0</v>
      </c>
      <c r="O565" s="420">
        <v>0</v>
      </c>
      <c r="P565" s="420">
        <v>0</v>
      </c>
      <c r="Q565" s="419">
        <v>0</v>
      </c>
      <c r="R565" s="420">
        <v>0</v>
      </c>
      <c r="S565" s="420">
        <v>0</v>
      </c>
      <c r="T565" s="420">
        <v>0</v>
      </c>
      <c r="U565" s="420">
        <v>0.57380653444759433</v>
      </c>
      <c r="V565" s="421"/>
    </row>
    <row r="566" spans="1:22">
      <c r="A566" s="416"/>
      <c r="B566" s="422" t="s">
        <v>607</v>
      </c>
      <c r="C566" s="423">
        <v>0.6058569475129616</v>
      </c>
      <c r="D566" s="424">
        <v>0</v>
      </c>
      <c r="E566" s="424">
        <v>-2.72593395159097</v>
      </c>
      <c r="F566" s="424">
        <v>0</v>
      </c>
      <c r="G566" s="424">
        <v>-1.4607890976736204</v>
      </c>
      <c r="H566" s="424">
        <v>2.9926385731018357</v>
      </c>
      <c r="I566" s="424">
        <v>0</v>
      </c>
      <c r="J566" s="426">
        <v>-0.81607705082035187</v>
      </c>
      <c r="K566" s="426">
        <v>0</v>
      </c>
      <c r="L566" s="424">
        <v>0</v>
      </c>
      <c r="M566" s="424">
        <v>0</v>
      </c>
      <c r="N566" s="424">
        <v>0</v>
      </c>
      <c r="O566" s="426">
        <v>0</v>
      </c>
      <c r="P566" s="426">
        <v>0</v>
      </c>
      <c r="Q566" s="424">
        <v>0</v>
      </c>
      <c r="R566" s="426">
        <v>0</v>
      </c>
      <c r="S566" s="426">
        <v>0</v>
      </c>
      <c r="T566" s="426">
        <v>0</v>
      </c>
      <c r="U566" s="426">
        <v>-0.81607705082035187</v>
      </c>
      <c r="V566" s="421"/>
    </row>
    <row r="567" spans="1:22">
      <c r="A567" s="416"/>
      <c r="B567" s="394" t="s">
        <v>608</v>
      </c>
      <c r="C567" s="413">
        <v>3.9888553517529603E-2</v>
      </c>
      <c r="D567" s="414">
        <v>0</v>
      </c>
      <c r="E567" s="414">
        <v>0.1605761851348958</v>
      </c>
      <c r="F567" s="414">
        <v>0</v>
      </c>
      <c r="G567" s="414">
        <v>5.4892815499147908E-2</v>
      </c>
      <c r="H567" s="414">
        <v>1.3020833333333333E-3</v>
      </c>
      <c r="I567" s="414">
        <v>0</v>
      </c>
      <c r="J567" s="415">
        <v>8.7076605900346216E-2</v>
      </c>
      <c r="K567" s="415">
        <v>0</v>
      </c>
      <c r="L567" s="414">
        <v>0</v>
      </c>
      <c r="M567" s="414">
        <v>0</v>
      </c>
      <c r="N567" s="414">
        <v>0</v>
      </c>
      <c r="O567" s="415">
        <v>0</v>
      </c>
      <c r="P567" s="415">
        <v>0</v>
      </c>
      <c r="Q567" s="414">
        <v>0</v>
      </c>
      <c r="R567" s="415">
        <v>0</v>
      </c>
      <c r="S567" s="415">
        <v>0</v>
      </c>
      <c r="T567" s="415">
        <v>0</v>
      </c>
      <c r="U567" s="415">
        <v>8.7076605900346216E-2</v>
      </c>
      <c r="V567" s="421"/>
    </row>
    <row r="568" spans="1:22">
      <c r="A568" s="416"/>
      <c r="B568" s="417" t="s">
        <v>609</v>
      </c>
      <c r="C568" s="418">
        <v>2.3576895340451764E-2</v>
      </c>
      <c r="D568" s="419">
        <v>0</v>
      </c>
      <c r="E568" s="419">
        <v>0.1805265033545608</v>
      </c>
      <c r="F568" s="419">
        <v>0</v>
      </c>
      <c r="G568" s="419">
        <v>3.430204859456884E-2</v>
      </c>
      <c r="H568" s="419">
        <v>1.2401818933443572E-3</v>
      </c>
      <c r="I568" s="419">
        <v>0</v>
      </c>
      <c r="J568" s="420">
        <v>8.222314382942944E-2</v>
      </c>
      <c r="K568" s="420">
        <v>0</v>
      </c>
      <c r="L568" s="419">
        <v>0</v>
      </c>
      <c r="M568" s="419">
        <v>0</v>
      </c>
      <c r="N568" s="419">
        <v>0</v>
      </c>
      <c r="O568" s="420">
        <v>0</v>
      </c>
      <c r="P568" s="420">
        <v>0</v>
      </c>
      <c r="Q568" s="419">
        <v>0</v>
      </c>
      <c r="R568" s="420">
        <v>0</v>
      </c>
      <c r="S568" s="420">
        <v>0</v>
      </c>
      <c r="T568" s="420">
        <v>0</v>
      </c>
      <c r="U568" s="420">
        <v>8.222314382942944E-2</v>
      </c>
      <c r="V568" s="421"/>
    </row>
    <row r="569" spans="1:22">
      <c r="A569" s="416"/>
      <c r="B569" s="422" t="s">
        <v>610</v>
      </c>
      <c r="C569" s="423">
        <v>-1.6311658177077839</v>
      </c>
      <c r="D569" s="424">
        <v>0</v>
      </c>
      <c r="E569" s="424">
        <v>1.9950318219665002</v>
      </c>
      <c r="F569" s="424">
        <v>0</v>
      </c>
      <c r="G569" s="424">
        <v>-2.059076690457907</v>
      </c>
      <c r="H569" s="424">
        <v>-6.1901439988976082E-3</v>
      </c>
      <c r="I569" s="424">
        <v>0</v>
      </c>
      <c r="J569" s="426">
        <v>-0.48534620709167753</v>
      </c>
      <c r="K569" s="426">
        <v>0</v>
      </c>
      <c r="L569" s="424">
        <v>0</v>
      </c>
      <c r="M569" s="424">
        <v>0</v>
      </c>
      <c r="N569" s="424">
        <v>0</v>
      </c>
      <c r="O569" s="426">
        <v>0</v>
      </c>
      <c r="P569" s="426">
        <v>0</v>
      </c>
      <c r="Q569" s="424">
        <v>0</v>
      </c>
      <c r="R569" s="426">
        <v>0</v>
      </c>
      <c r="S569" s="426">
        <v>0</v>
      </c>
      <c r="T569" s="426">
        <v>0</v>
      </c>
      <c r="U569" s="426">
        <v>-0.48534620709167753</v>
      </c>
      <c r="V569" s="421"/>
    </row>
    <row r="570" spans="1:22">
      <c r="A570" s="416"/>
      <c r="B570" s="394" t="s">
        <v>611</v>
      </c>
      <c r="C570" s="413">
        <v>0.27917343858834454</v>
      </c>
      <c r="D570" s="414">
        <v>0</v>
      </c>
      <c r="E570" s="414">
        <v>0.31062931696085955</v>
      </c>
      <c r="F570" s="414">
        <v>0</v>
      </c>
      <c r="G570" s="414">
        <v>0.5371333751906</v>
      </c>
      <c r="H570" s="414">
        <v>0.2890625</v>
      </c>
      <c r="I570" s="414">
        <v>0</v>
      </c>
      <c r="J570" s="415">
        <v>0.32346580914071865</v>
      </c>
      <c r="K570" s="415">
        <v>0</v>
      </c>
      <c r="L570" s="414">
        <v>0</v>
      </c>
      <c r="M570" s="414">
        <v>0</v>
      </c>
      <c r="N570" s="414">
        <v>0</v>
      </c>
      <c r="O570" s="415">
        <v>0</v>
      </c>
      <c r="P570" s="415">
        <v>0</v>
      </c>
      <c r="Q570" s="414">
        <v>0</v>
      </c>
      <c r="R570" s="415">
        <v>0</v>
      </c>
      <c r="S570" s="415">
        <v>0</v>
      </c>
      <c r="T570" s="415">
        <v>0</v>
      </c>
      <c r="U570" s="415">
        <v>0.32346580914071865</v>
      </c>
      <c r="V570" s="421"/>
    </row>
    <row r="571" spans="1:22">
      <c r="A571" s="416"/>
      <c r="B571" s="417" t="s">
        <v>612</v>
      </c>
      <c r="C571" s="418">
        <v>0.2904250122129946</v>
      </c>
      <c r="D571" s="419">
        <v>0</v>
      </c>
      <c r="E571" s="419">
        <v>0.31467794666790622</v>
      </c>
      <c r="F571" s="419">
        <v>0</v>
      </c>
      <c r="G571" s="419">
        <v>0.57287019792975014</v>
      </c>
      <c r="H571" s="419">
        <v>0.25919801570897066</v>
      </c>
      <c r="I571" s="419">
        <v>0</v>
      </c>
      <c r="J571" s="420">
        <v>0.33593718931263883</v>
      </c>
      <c r="K571" s="420">
        <v>0</v>
      </c>
      <c r="L571" s="419">
        <v>0</v>
      </c>
      <c r="M571" s="419">
        <v>0</v>
      </c>
      <c r="N571" s="419">
        <v>0</v>
      </c>
      <c r="O571" s="420">
        <v>0</v>
      </c>
      <c r="P571" s="420">
        <v>0</v>
      </c>
      <c r="Q571" s="419">
        <v>0</v>
      </c>
      <c r="R571" s="420">
        <v>0</v>
      </c>
      <c r="S571" s="420">
        <v>0</v>
      </c>
      <c r="T571" s="420">
        <v>0</v>
      </c>
      <c r="U571" s="420">
        <v>0.33593718931263883</v>
      </c>
      <c r="V571" s="421"/>
    </row>
    <row r="572" spans="1:22">
      <c r="A572" s="416"/>
      <c r="B572" s="422" t="s">
        <v>613</v>
      </c>
      <c r="C572" s="423">
        <v>1.1251573624650069</v>
      </c>
      <c r="D572" s="424">
        <v>0</v>
      </c>
      <c r="E572" s="424">
        <v>0.40486297070466692</v>
      </c>
      <c r="F572" s="424">
        <v>0</v>
      </c>
      <c r="G572" s="424">
        <v>3.5736822739150131</v>
      </c>
      <c r="H572" s="424">
        <v>-2.9864484291029338</v>
      </c>
      <c r="I572" s="424">
        <v>0</v>
      </c>
      <c r="J572" s="426">
        <v>1.2471380171920177</v>
      </c>
      <c r="K572" s="426">
        <v>0</v>
      </c>
      <c r="L572" s="424">
        <v>0</v>
      </c>
      <c r="M572" s="424">
        <v>0</v>
      </c>
      <c r="N572" s="424">
        <v>0</v>
      </c>
      <c r="O572" s="426">
        <v>0</v>
      </c>
      <c r="P572" s="426">
        <v>0</v>
      </c>
      <c r="Q572" s="424">
        <v>0</v>
      </c>
      <c r="R572" s="426">
        <v>0</v>
      </c>
      <c r="S572" s="426">
        <v>0</v>
      </c>
      <c r="T572" s="426">
        <v>0</v>
      </c>
      <c r="U572" s="426">
        <v>1.2471380171920177</v>
      </c>
      <c r="V572" s="421"/>
    </row>
    <row r="573" spans="1:22">
      <c r="A573" s="416"/>
      <c r="B573" s="394" t="s">
        <v>614</v>
      </c>
      <c r="C573" s="413">
        <v>0</v>
      </c>
      <c r="D573" s="414">
        <v>0</v>
      </c>
      <c r="E573" s="414">
        <v>1.0700159395477891E-2</v>
      </c>
      <c r="F573" s="414">
        <v>0</v>
      </c>
      <c r="G573" s="414">
        <v>5.381648578347834E-4</v>
      </c>
      <c r="H573" s="414">
        <v>0</v>
      </c>
      <c r="I573" s="414">
        <v>0</v>
      </c>
      <c r="J573" s="415">
        <v>4.1288978027765018E-3</v>
      </c>
      <c r="K573" s="415">
        <v>0</v>
      </c>
      <c r="L573" s="414">
        <v>0</v>
      </c>
      <c r="M573" s="414">
        <v>0</v>
      </c>
      <c r="N573" s="414">
        <v>0</v>
      </c>
      <c r="O573" s="415">
        <v>0</v>
      </c>
      <c r="P573" s="415">
        <v>0</v>
      </c>
      <c r="Q573" s="414">
        <v>0</v>
      </c>
      <c r="R573" s="415">
        <v>0</v>
      </c>
      <c r="S573" s="415">
        <v>0</v>
      </c>
      <c r="T573" s="415">
        <v>0</v>
      </c>
      <c r="U573" s="415">
        <v>4.1288978027765018E-3</v>
      </c>
      <c r="V573" s="421"/>
    </row>
    <row r="574" spans="1:22">
      <c r="A574" s="416"/>
      <c r="B574" s="417" t="s">
        <v>615</v>
      </c>
      <c r="C574" s="418">
        <v>5.5830832577290809E-4</v>
      </c>
      <c r="D574" s="419">
        <v>0</v>
      </c>
      <c r="E574" s="419">
        <v>1.3960550984675933E-2</v>
      </c>
      <c r="F574" s="419">
        <v>0</v>
      </c>
      <c r="G574" s="419">
        <v>0</v>
      </c>
      <c r="H574" s="419">
        <v>0</v>
      </c>
      <c r="I574" s="419">
        <v>0</v>
      </c>
      <c r="J574" s="420">
        <v>5.3914021622420054E-3</v>
      </c>
      <c r="K574" s="420">
        <v>0</v>
      </c>
      <c r="L574" s="419">
        <v>0</v>
      </c>
      <c r="M574" s="419">
        <v>0</v>
      </c>
      <c r="N574" s="419">
        <v>0</v>
      </c>
      <c r="O574" s="420">
        <v>0</v>
      </c>
      <c r="P574" s="420">
        <v>0</v>
      </c>
      <c r="Q574" s="419">
        <v>0</v>
      </c>
      <c r="R574" s="420">
        <v>0</v>
      </c>
      <c r="S574" s="420">
        <v>0</v>
      </c>
      <c r="T574" s="420">
        <v>0</v>
      </c>
      <c r="U574" s="420">
        <v>5.3914021622420054E-3</v>
      </c>
      <c r="V574" s="421"/>
    </row>
    <row r="575" spans="1:22">
      <c r="A575" s="416"/>
      <c r="B575" s="422" t="s">
        <v>616</v>
      </c>
      <c r="C575" s="423">
        <v>0</v>
      </c>
      <c r="D575" s="424">
        <v>0</v>
      </c>
      <c r="E575" s="424">
        <v>0.32603915891980423</v>
      </c>
      <c r="F575" s="424">
        <v>0</v>
      </c>
      <c r="G575" s="424">
        <v>-5.3816485783478342E-2</v>
      </c>
      <c r="H575" s="424">
        <v>0</v>
      </c>
      <c r="I575" s="424">
        <v>0</v>
      </c>
      <c r="J575" s="426">
        <v>0.12625043594655036</v>
      </c>
      <c r="K575" s="426">
        <v>0</v>
      </c>
      <c r="L575" s="424">
        <v>0</v>
      </c>
      <c r="M575" s="424">
        <v>0</v>
      </c>
      <c r="N575" s="424">
        <v>0</v>
      </c>
      <c r="O575" s="426">
        <v>0</v>
      </c>
      <c r="P575" s="426">
        <v>0</v>
      </c>
      <c r="Q575" s="424">
        <v>0</v>
      </c>
      <c r="R575" s="426">
        <v>0</v>
      </c>
      <c r="S575" s="426">
        <v>0</v>
      </c>
      <c r="T575" s="426">
        <v>0</v>
      </c>
      <c r="U575" s="426">
        <v>0.12625043594655036</v>
      </c>
      <c r="V575" s="421"/>
    </row>
    <row r="576" spans="1:22">
      <c r="A576" s="416"/>
      <c r="B576" s="394" t="s">
        <v>617</v>
      </c>
      <c r="C576" s="413">
        <v>6.9654051543998141E-3</v>
      </c>
      <c r="D576" s="414">
        <v>0</v>
      </c>
      <c r="E576" s="414">
        <v>0</v>
      </c>
      <c r="F576" s="414">
        <v>0</v>
      </c>
      <c r="G576" s="414">
        <v>0</v>
      </c>
      <c r="H576" s="414">
        <v>0</v>
      </c>
      <c r="I576" s="414">
        <v>0</v>
      </c>
      <c r="J576" s="415">
        <v>3.3613822003607883E-3</v>
      </c>
      <c r="K576" s="415">
        <v>0</v>
      </c>
      <c r="L576" s="414">
        <v>0</v>
      </c>
      <c r="M576" s="414">
        <v>0</v>
      </c>
      <c r="N576" s="414">
        <v>0</v>
      </c>
      <c r="O576" s="415">
        <v>0</v>
      </c>
      <c r="P576" s="415">
        <v>0</v>
      </c>
      <c r="Q576" s="414">
        <v>0</v>
      </c>
      <c r="R576" s="415">
        <v>0</v>
      </c>
      <c r="S576" s="415">
        <v>0</v>
      </c>
      <c r="T576" s="415">
        <v>0</v>
      </c>
      <c r="U576" s="415">
        <v>3.3613822003607883E-3</v>
      </c>
      <c r="V576" s="421"/>
    </row>
    <row r="577" spans="1:22">
      <c r="A577" s="416"/>
      <c r="B577" s="417" t="s">
        <v>618</v>
      </c>
      <c r="C577" s="418">
        <v>5.4086119059250475E-3</v>
      </c>
      <c r="D577" s="419">
        <v>0</v>
      </c>
      <c r="E577" s="419">
        <v>0</v>
      </c>
      <c r="F577" s="419">
        <v>0</v>
      </c>
      <c r="G577" s="419">
        <v>0</v>
      </c>
      <c r="H577" s="419">
        <v>0</v>
      </c>
      <c r="I577" s="419">
        <v>0</v>
      </c>
      <c r="J577" s="420">
        <v>2.6417302480953976E-3</v>
      </c>
      <c r="K577" s="420">
        <v>0</v>
      </c>
      <c r="L577" s="419">
        <v>0</v>
      </c>
      <c r="M577" s="419">
        <v>0</v>
      </c>
      <c r="N577" s="419">
        <v>0</v>
      </c>
      <c r="O577" s="420">
        <v>0</v>
      </c>
      <c r="P577" s="420">
        <v>0</v>
      </c>
      <c r="Q577" s="419">
        <v>0</v>
      </c>
      <c r="R577" s="420">
        <v>0</v>
      </c>
      <c r="S577" s="420">
        <v>0</v>
      </c>
      <c r="T577" s="420">
        <v>0</v>
      </c>
      <c r="U577" s="420">
        <v>2.6417302480953976E-3</v>
      </c>
      <c r="V577" s="421"/>
    </row>
    <row r="578" spans="1:22">
      <c r="A578" s="416"/>
      <c r="B578" s="422" t="s">
        <v>619</v>
      </c>
      <c r="C578" s="423">
        <v>-0.15567932484747668</v>
      </c>
      <c r="D578" s="424">
        <v>0</v>
      </c>
      <c r="E578" s="424">
        <v>0</v>
      </c>
      <c r="F578" s="424">
        <v>0</v>
      </c>
      <c r="G578" s="424">
        <v>0</v>
      </c>
      <c r="H578" s="424">
        <v>0</v>
      </c>
      <c r="I578" s="424">
        <v>0</v>
      </c>
      <c r="J578" s="426">
        <v>-7.1965195226539061E-2</v>
      </c>
      <c r="K578" s="426">
        <v>0</v>
      </c>
      <c r="L578" s="424">
        <v>0</v>
      </c>
      <c r="M578" s="424">
        <v>0</v>
      </c>
      <c r="N578" s="424">
        <v>0</v>
      </c>
      <c r="O578" s="426">
        <v>0</v>
      </c>
      <c r="P578" s="426">
        <v>0</v>
      </c>
      <c r="Q578" s="424">
        <v>0</v>
      </c>
      <c r="R578" s="426">
        <v>0</v>
      </c>
      <c r="S578" s="426">
        <v>0</v>
      </c>
      <c r="T578" s="426">
        <v>0</v>
      </c>
      <c r="U578" s="426">
        <v>-7.1965195226539061E-2</v>
      </c>
      <c r="V578" s="421"/>
    </row>
    <row r="579" spans="1:22">
      <c r="A579" s="416"/>
      <c r="B579" s="394" t="s">
        <v>620</v>
      </c>
      <c r="C579" s="413">
        <v>0</v>
      </c>
      <c r="D579" s="414">
        <v>0</v>
      </c>
      <c r="E579" s="414">
        <v>0</v>
      </c>
      <c r="F579" s="414">
        <v>0</v>
      </c>
      <c r="G579" s="414">
        <v>0</v>
      </c>
      <c r="H579" s="414">
        <v>0</v>
      </c>
      <c r="I579" s="414">
        <v>0</v>
      </c>
      <c r="J579" s="415">
        <v>0</v>
      </c>
      <c r="K579" s="415">
        <v>0</v>
      </c>
      <c r="L579" s="414">
        <v>0</v>
      </c>
      <c r="M579" s="414">
        <v>0</v>
      </c>
      <c r="N579" s="414">
        <v>0</v>
      </c>
      <c r="O579" s="415">
        <v>0</v>
      </c>
      <c r="P579" s="415">
        <v>0</v>
      </c>
      <c r="Q579" s="414">
        <v>0</v>
      </c>
      <c r="R579" s="415">
        <v>0</v>
      </c>
      <c r="S579" s="415">
        <v>0</v>
      </c>
      <c r="T579" s="415">
        <v>0</v>
      </c>
      <c r="U579" s="415">
        <v>0</v>
      </c>
      <c r="V579" s="421"/>
    </row>
    <row r="580" spans="1:22">
      <c r="A580" s="416"/>
      <c r="B580" s="417" t="s">
        <v>621</v>
      </c>
      <c r="C580" s="418">
        <v>0</v>
      </c>
      <c r="D580" s="419">
        <v>0</v>
      </c>
      <c r="E580" s="419">
        <v>0</v>
      </c>
      <c r="F580" s="419">
        <v>0</v>
      </c>
      <c r="G580" s="419">
        <v>0</v>
      </c>
      <c r="H580" s="419">
        <v>0</v>
      </c>
      <c r="I580" s="419">
        <v>0</v>
      </c>
      <c r="J580" s="420">
        <v>0</v>
      </c>
      <c r="K580" s="420">
        <v>0</v>
      </c>
      <c r="L580" s="419">
        <v>0</v>
      </c>
      <c r="M580" s="419">
        <v>0</v>
      </c>
      <c r="N580" s="419">
        <v>0</v>
      </c>
      <c r="O580" s="420">
        <v>0</v>
      </c>
      <c r="P580" s="420">
        <v>0</v>
      </c>
      <c r="Q580" s="419">
        <v>0</v>
      </c>
      <c r="R580" s="420">
        <v>0</v>
      </c>
      <c r="S580" s="420">
        <v>0</v>
      </c>
      <c r="T580" s="420">
        <v>0</v>
      </c>
      <c r="U580" s="420">
        <v>0</v>
      </c>
      <c r="V580" s="421"/>
    </row>
    <row r="581" spans="1:22" ht="15" thickBot="1">
      <c r="A581" s="432"/>
      <c r="B581" s="433" t="s">
        <v>622</v>
      </c>
      <c r="C581" s="434">
        <v>0</v>
      </c>
      <c r="D581" s="435">
        <v>0</v>
      </c>
      <c r="E581" s="435">
        <v>0</v>
      </c>
      <c r="F581" s="435">
        <v>0</v>
      </c>
      <c r="G581" s="435">
        <v>0</v>
      </c>
      <c r="H581" s="435">
        <v>0</v>
      </c>
      <c r="I581" s="435">
        <v>0</v>
      </c>
      <c r="J581" s="436">
        <v>0</v>
      </c>
      <c r="K581" s="436">
        <v>0</v>
      </c>
      <c r="L581" s="435">
        <v>0</v>
      </c>
      <c r="M581" s="435">
        <v>0</v>
      </c>
      <c r="N581" s="435">
        <v>0</v>
      </c>
      <c r="O581" s="436">
        <v>0</v>
      </c>
      <c r="P581" s="436">
        <v>0</v>
      </c>
      <c r="Q581" s="435">
        <v>0</v>
      </c>
      <c r="R581" s="436">
        <v>0</v>
      </c>
      <c r="S581" s="436">
        <v>0</v>
      </c>
      <c r="T581" s="436">
        <v>0</v>
      </c>
      <c r="U581" s="436">
        <v>0</v>
      </c>
      <c r="V581" s="421"/>
    </row>
    <row r="582" spans="1:22">
      <c r="A582" s="412" t="s">
        <v>623</v>
      </c>
      <c r="B582" s="394"/>
      <c r="C582" s="413">
        <v>0.8681764638774998</v>
      </c>
      <c r="D582" s="414">
        <v>0.81684933561969975</v>
      </c>
      <c r="E582" s="414">
        <v>0.78315816929936766</v>
      </c>
      <c r="F582" s="414">
        <v>0.76012967878839599</v>
      </c>
      <c r="G582" s="414">
        <v>0.80828624340459831</v>
      </c>
      <c r="H582" s="414">
        <v>0.75268282559584254</v>
      </c>
      <c r="I582" s="414">
        <v>6.9733428478180301E-2</v>
      </c>
      <c r="J582" s="415">
        <v>0.80605402064881226</v>
      </c>
      <c r="K582" s="415">
        <v>0.67531374113486276</v>
      </c>
      <c r="L582" s="414">
        <v>0.60309787317391061</v>
      </c>
      <c r="M582" s="414">
        <v>0.55299328464337216</v>
      </c>
      <c r="N582" s="414">
        <v>0.54474179416806467</v>
      </c>
      <c r="O582" s="415">
        <v>0.6037126063103494</v>
      </c>
      <c r="P582" s="415">
        <v>0.6535942059377875</v>
      </c>
      <c r="Q582" s="414">
        <v>0.88217507871845102</v>
      </c>
      <c r="R582" s="415">
        <v>0.65954879125832178</v>
      </c>
      <c r="S582" s="415">
        <v>0</v>
      </c>
      <c r="T582" s="415">
        <v>0</v>
      </c>
      <c r="U582" s="415">
        <v>0.71990784877271585</v>
      </c>
      <c r="V582" s="421"/>
    </row>
    <row r="583" spans="1:22">
      <c r="A583" s="416" t="s">
        <v>624</v>
      </c>
      <c r="B583" s="417"/>
      <c r="C583" s="418">
        <v>0.85644813002162312</v>
      </c>
      <c r="D583" s="419">
        <v>0.80587096411620818</v>
      </c>
      <c r="E583" s="419">
        <v>0.76501962579988347</v>
      </c>
      <c r="F583" s="419">
        <v>0.74079835188788112</v>
      </c>
      <c r="G583" s="419">
        <v>0.77989738385068641</v>
      </c>
      <c r="H583" s="419">
        <v>0.73472879338353758</v>
      </c>
      <c r="I583" s="419">
        <v>6.887093414727169E-2</v>
      </c>
      <c r="J583" s="420">
        <v>0.79171623869888064</v>
      </c>
      <c r="K583" s="420">
        <v>0.66433538204491205</v>
      </c>
      <c r="L583" s="419">
        <v>0.5969203743730721</v>
      </c>
      <c r="M583" s="419">
        <v>0.54909178117231805</v>
      </c>
      <c r="N583" s="419">
        <v>0.52507967564153302</v>
      </c>
      <c r="O583" s="420">
        <v>0.59610433008101782</v>
      </c>
      <c r="P583" s="420">
        <v>0.63240552233000802</v>
      </c>
      <c r="Q583" s="419">
        <v>0.87710980419182449</v>
      </c>
      <c r="R583" s="420">
        <v>0.63911267241211422</v>
      </c>
      <c r="S583" s="420">
        <v>0</v>
      </c>
      <c r="T583" s="420">
        <v>0</v>
      </c>
      <c r="U583" s="420">
        <v>0.7098022845281271</v>
      </c>
      <c r="V583" s="421"/>
    </row>
    <row r="584" spans="1:22">
      <c r="A584" s="416" t="s">
        <v>625</v>
      </c>
      <c r="B584" s="422"/>
      <c r="C584" s="423">
        <v>-1.1728333855876683</v>
      </c>
      <c r="D584" s="424">
        <v>-1.0978371503491569</v>
      </c>
      <c r="E584" s="424">
        <v>-1.8138543499484183</v>
      </c>
      <c r="F584" s="424">
        <v>-1.9331326900514867</v>
      </c>
      <c r="G584" s="424">
        <v>-2.8388859553911905</v>
      </c>
      <c r="H584" s="424">
        <v>-1.795403221230496</v>
      </c>
      <c r="I584" s="424">
        <v>-8.6249433090861138E-2</v>
      </c>
      <c r="J584" s="426">
        <v>-1.4337781949931627</v>
      </c>
      <c r="K584" s="426">
        <v>-1.0978359089950707</v>
      </c>
      <c r="L584" s="424">
        <v>-0.61774988008385101</v>
      </c>
      <c r="M584" s="424">
        <v>-0.3901503471054113</v>
      </c>
      <c r="N584" s="424">
        <v>-1.9662118526531658</v>
      </c>
      <c r="O584" s="426">
        <v>-0.76082762293315787</v>
      </c>
      <c r="P584" s="426">
        <v>-2.1188683607779479</v>
      </c>
      <c r="Q584" s="424">
        <v>-0.50652745266265287</v>
      </c>
      <c r="R584" s="426">
        <v>-2.0436118846207552</v>
      </c>
      <c r="S584" s="426">
        <v>0</v>
      </c>
      <c r="T584" s="426">
        <v>0</v>
      </c>
      <c r="U584" s="426">
        <v>-1.0105564244588749</v>
      </c>
      <c r="V584" s="421"/>
    </row>
    <row r="585" spans="1:22">
      <c r="A585" s="416" t="s">
        <v>626</v>
      </c>
      <c r="B585" s="394"/>
      <c r="C585" s="413">
        <v>1.4647448116558775E-2</v>
      </c>
      <c r="D585" s="414">
        <v>2.1749119831712793E-2</v>
      </c>
      <c r="E585" s="414">
        <v>2.1945401877633695E-2</v>
      </c>
      <c r="F585" s="414">
        <v>1.4826194985949235E-2</v>
      </c>
      <c r="G585" s="414">
        <v>1.6393491196142931E-2</v>
      </c>
      <c r="H585" s="414">
        <v>3.3535104029532713E-2</v>
      </c>
      <c r="I585" s="414">
        <v>5.537153509572567E-2</v>
      </c>
      <c r="J585" s="415">
        <v>1.917375010529488E-2</v>
      </c>
      <c r="K585" s="415">
        <v>4.2142279098840683E-2</v>
      </c>
      <c r="L585" s="414">
        <v>9.4220806818158268E-2</v>
      </c>
      <c r="M585" s="414">
        <v>0.10340013558170336</v>
      </c>
      <c r="N585" s="414">
        <v>9.4527689635080681E-2</v>
      </c>
      <c r="O585" s="415">
        <v>8.2032974786938134E-2</v>
      </c>
      <c r="P585" s="415">
        <v>4.0121748409423594E-3</v>
      </c>
      <c r="Q585" s="414">
        <v>3.2655029714676875E-2</v>
      </c>
      <c r="R585" s="415">
        <v>4.758327924945108E-3</v>
      </c>
      <c r="S585" s="415">
        <v>0</v>
      </c>
      <c r="T585" s="415">
        <v>0</v>
      </c>
      <c r="U585" s="415">
        <v>4.4046311879008544E-2</v>
      </c>
      <c r="V585" s="421"/>
    </row>
    <row r="586" spans="1:22">
      <c r="A586" s="416" t="s">
        <v>627</v>
      </c>
      <c r="B586" s="417"/>
      <c r="C586" s="418">
        <v>1.5852138038483999E-2</v>
      </c>
      <c r="D586" s="419">
        <v>1.8005069647259928E-2</v>
      </c>
      <c r="E586" s="419">
        <v>2.1436047437889037E-2</v>
      </c>
      <c r="F586" s="419">
        <v>1.6641454990949829E-2</v>
      </c>
      <c r="G586" s="419">
        <v>1.7403849123841929E-2</v>
      </c>
      <c r="H586" s="419">
        <v>3.7753005628195647E-2</v>
      </c>
      <c r="I586" s="419">
        <v>5.3357188606873246E-2</v>
      </c>
      <c r="J586" s="420">
        <v>1.9530710122278923E-2</v>
      </c>
      <c r="K586" s="420">
        <v>3.8335400746275637E-2</v>
      </c>
      <c r="L586" s="419">
        <v>0.100570981802414</v>
      </c>
      <c r="M586" s="419">
        <v>0.11143462657568774</v>
      </c>
      <c r="N586" s="419">
        <v>9.2619350423751037E-2</v>
      </c>
      <c r="O586" s="420">
        <v>8.40805162770972E-2</v>
      </c>
      <c r="P586" s="420">
        <v>3.9589200214903558E-3</v>
      </c>
      <c r="Q586" s="419">
        <v>4.3351067643726787E-2</v>
      </c>
      <c r="R586" s="420">
        <v>5.0386275122976474E-3</v>
      </c>
      <c r="S586" s="420">
        <v>0</v>
      </c>
      <c r="T586" s="420">
        <v>0</v>
      </c>
      <c r="U586" s="420">
        <v>4.4415595782213768E-2</v>
      </c>
      <c r="V586" s="421"/>
    </row>
    <row r="587" spans="1:22">
      <c r="A587" s="416" t="s">
        <v>628</v>
      </c>
      <c r="B587" s="422"/>
      <c r="C587" s="423">
        <v>0.12046899219252238</v>
      </c>
      <c r="D587" s="424">
        <v>-0.37440501844528651</v>
      </c>
      <c r="E587" s="424">
        <v>-5.0935443974465741E-2</v>
      </c>
      <c r="F587" s="424">
        <v>0.18152600050005946</v>
      </c>
      <c r="G587" s="424">
        <v>0.10103579276989974</v>
      </c>
      <c r="H587" s="424">
        <v>0.42179015986629348</v>
      </c>
      <c r="I587" s="424">
        <v>-0.2014346488852424</v>
      </c>
      <c r="J587" s="426">
        <v>3.5696001698404256E-2</v>
      </c>
      <c r="K587" s="426">
        <v>-0.38068783525650463</v>
      </c>
      <c r="L587" s="424">
        <v>0.6350174984255732</v>
      </c>
      <c r="M587" s="424">
        <v>0.80344909939843867</v>
      </c>
      <c r="N587" s="424">
        <v>-0.19083392113296432</v>
      </c>
      <c r="O587" s="426">
        <v>0.20475414901590661</v>
      </c>
      <c r="P587" s="426">
        <v>-5.3254819452003624E-3</v>
      </c>
      <c r="Q587" s="424">
        <v>1.0696037929049913</v>
      </c>
      <c r="R587" s="426">
        <v>2.8029958735253935E-2</v>
      </c>
      <c r="S587" s="426">
        <v>0</v>
      </c>
      <c r="T587" s="426">
        <v>0</v>
      </c>
      <c r="U587" s="426">
        <v>3.6928390320522392E-2</v>
      </c>
      <c r="V587" s="421"/>
    </row>
    <row r="588" spans="1:22">
      <c r="A588" s="416" t="s">
        <v>629</v>
      </c>
      <c r="B588" s="394"/>
      <c r="C588" s="413">
        <v>0.11190124294834009</v>
      </c>
      <c r="D588" s="414">
        <v>0.14955791757335826</v>
      </c>
      <c r="E588" s="414">
        <v>0.18393654572167659</v>
      </c>
      <c r="F588" s="414">
        <v>0.22200253692692096</v>
      </c>
      <c r="G588" s="414">
        <v>0.1544046974492925</v>
      </c>
      <c r="H588" s="414">
        <v>0.21083468004785577</v>
      </c>
      <c r="I588" s="414">
        <v>0.87362441018492398</v>
      </c>
      <c r="J588" s="415">
        <v>0.16711952080304612</v>
      </c>
      <c r="K588" s="415">
        <v>0.27779894498876495</v>
      </c>
      <c r="L588" s="414">
        <v>0.29808462051709272</v>
      </c>
      <c r="M588" s="414">
        <v>0.32451547682106885</v>
      </c>
      <c r="N588" s="414">
        <v>0.34122382980749705</v>
      </c>
      <c r="O588" s="415">
        <v>0.30421186510446802</v>
      </c>
      <c r="P588" s="415">
        <v>0.33767238547875494</v>
      </c>
      <c r="Q588" s="414">
        <v>8.5169891566871977E-2</v>
      </c>
      <c r="R588" s="415">
        <v>0.33109463631997593</v>
      </c>
      <c r="S588" s="415">
        <v>0</v>
      </c>
      <c r="T588" s="415">
        <v>0</v>
      </c>
      <c r="U588" s="415">
        <v>0.22752652731507189</v>
      </c>
      <c r="V588" s="421"/>
    </row>
    <row r="589" spans="1:22">
      <c r="A589" s="416" t="s">
        <v>630</v>
      </c>
      <c r="B589" s="417"/>
      <c r="C589" s="418">
        <v>0.12264483265055187</v>
      </c>
      <c r="D589" s="419">
        <v>0.1636852295322492</v>
      </c>
      <c r="E589" s="419">
        <v>0.20278776027217724</v>
      </c>
      <c r="F589" s="419">
        <v>0.23940971227368882</v>
      </c>
      <c r="G589" s="419">
        <v>0.18266701905181243</v>
      </c>
      <c r="H589" s="419">
        <v>0.22511136923973538</v>
      </c>
      <c r="I589" s="419">
        <v>0.87657129582940352</v>
      </c>
      <c r="J589" s="420">
        <v>0.18127413486763677</v>
      </c>
      <c r="K589" s="420">
        <v>0.29243310898538943</v>
      </c>
      <c r="L589" s="419">
        <v>0.2977603069801536</v>
      </c>
      <c r="M589" s="419">
        <v>0.31741205339172301</v>
      </c>
      <c r="N589" s="419">
        <v>0.36434737635090536</v>
      </c>
      <c r="O589" s="420">
        <v>0.30925700609500395</v>
      </c>
      <c r="P589" s="420">
        <v>0.3589035247236721</v>
      </c>
      <c r="Q589" s="419">
        <v>7.953912816444865E-2</v>
      </c>
      <c r="R589" s="420">
        <v>0.35124636841621598</v>
      </c>
      <c r="S589" s="420">
        <v>0</v>
      </c>
      <c r="T589" s="420">
        <v>0</v>
      </c>
      <c r="U589" s="420">
        <v>0.2371884241099001</v>
      </c>
      <c r="V589" s="421"/>
    </row>
    <row r="590" spans="1:22">
      <c r="A590" s="416" t="s">
        <v>631</v>
      </c>
      <c r="B590" s="422"/>
      <c r="C590" s="423">
        <v>1.0743589702211787</v>
      </c>
      <c r="D590" s="424">
        <v>1.4127311958890942</v>
      </c>
      <c r="E590" s="424">
        <v>1.885121455050065</v>
      </c>
      <c r="F590" s="424">
        <v>1.740717534676786</v>
      </c>
      <c r="G590" s="424">
        <v>2.8262321602519931</v>
      </c>
      <c r="H590" s="424">
        <v>1.4276689191879606</v>
      </c>
      <c r="I590" s="424">
        <v>0.29468856444795355</v>
      </c>
      <c r="J590" s="426">
        <v>1.4154614064590647</v>
      </c>
      <c r="K590" s="426">
        <v>1.4634163996624483</v>
      </c>
      <c r="L590" s="424">
        <v>-3.2431353693912479E-2</v>
      </c>
      <c r="M590" s="424">
        <v>-0.71034234293458343</v>
      </c>
      <c r="N590" s="424">
        <v>2.3123546543408313</v>
      </c>
      <c r="O590" s="426">
        <v>0.50451409905359346</v>
      </c>
      <c r="P590" s="426">
        <v>2.1231139244917152</v>
      </c>
      <c r="Q590" s="424">
        <v>-0.56307634024233277</v>
      </c>
      <c r="R590" s="426">
        <v>2.0151732096240051</v>
      </c>
      <c r="S590" s="426">
        <v>0</v>
      </c>
      <c r="T590" s="426">
        <v>0</v>
      </c>
      <c r="U590" s="426">
        <v>0.96618967948282064</v>
      </c>
      <c r="V590" s="421"/>
    </row>
    <row r="591" spans="1:22">
      <c r="A591" s="416" t="s">
        <v>632</v>
      </c>
      <c r="B591" s="394"/>
      <c r="C591" s="413">
        <v>2.4152305211368346E-3</v>
      </c>
      <c r="D591" s="414">
        <v>1.6527563803959019E-3</v>
      </c>
      <c r="E591" s="414">
        <v>2.6326708963676409E-3</v>
      </c>
      <c r="F591" s="414">
        <v>2.068390043453583E-3</v>
      </c>
      <c r="G591" s="414">
        <v>1.249363703326639E-2</v>
      </c>
      <c r="H591" s="414">
        <v>2.9473903267689997E-3</v>
      </c>
      <c r="I591" s="414">
        <v>1.2706262411700604E-3</v>
      </c>
      <c r="J591" s="415">
        <v>2.7530310296273461E-3</v>
      </c>
      <c r="K591" s="415">
        <v>1.0040353798389923E-4</v>
      </c>
      <c r="L591" s="414">
        <v>4.4608293502569146E-4</v>
      </c>
      <c r="M591" s="414">
        <v>1.2546157320941026E-2</v>
      </c>
      <c r="N591" s="414">
        <v>1.8636706901464697E-2</v>
      </c>
      <c r="O591" s="415">
        <v>5.554156356058354E-3</v>
      </c>
      <c r="P591" s="415">
        <v>4.7212337425152472E-3</v>
      </c>
      <c r="Q591" s="414">
        <v>0</v>
      </c>
      <c r="R591" s="415">
        <v>4.5982444967572773E-3</v>
      </c>
      <c r="S591" s="415">
        <v>0</v>
      </c>
      <c r="T591" s="415">
        <v>0</v>
      </c>
      <c r="U591" s="415">
        <v>3.9398325700058271E-3</v>
      </c>
      <c r="V591" s="421"/>
    </row>
    <row r="592" spans="1:22">
      <c r="A592" s="416" t="s">
        <v>633</v>
      </c>
      <c r="B592" s="417"/>
      <c r="C592" s="418">
        <v>2.1661261548637091E-3</v>
      </c>
      <c r="D592" s="419">
        <v>2.2726325114681969E-3</v>
      </c>
      <c r="E592" s="419">
        <v>3.2887453732753174E-3</v>
      </c>
      <c r="F592" s="419">
        <v>2.4556210460016173E-3</v>
      </c>
      <c r="G592" s="419">
        <v>1.2938419711603394E-2</v>
      </c>
      <c r="H592" s="419">
        <v>2.4018080010485931E-3</v>
      </c>
      <c r="I592" s="419">
        <v>1.2005814164515393E-3</v>
      </c>
      <c r="J592" s="420">
        <v>2.8975503942733423E-3</v>
      </c>
      <c r="K592" s="420">
        <v>1.0422589240284471E-4</v>
      </c>
      <c r="L592" s="419">
        <v>2.6420480401208893E-4</v>
      </c>
      <c r="M592" s="419">
        <v>1.3643685687812251E-2</v>
      </c>
      <c r="N592" s="419">
        <v>1.6310961693602237E-2</v>
      </c>
      <c r="O592" s="420">
        <v>5.4099806895682966E-3</v>
      </c>
      <c r="P592" s="420">
        <v>4.7320329248295816E-3</v>
      </c>
      <c r="Q592" s="419">
        <v>0</v>
      </c>
      <c r="R592" s="420">
        <v>4.6023316593722724E-3</v>
      </c>
      <c r="S592" s="420">
        <v>0</v>
      </c>
      <c r="T592" s="420">
        <v>0</v>
      </c>
      <c r="U592" s="420">
        <v>3.9412033146572325E-3</v>
      </c>
      <c r="V592" s="421"/>
    </row>
    <row r="593" spans="1:22">
      <c r="A593" s="416" t="s">
        <v>634</v>
      </c>
      <c r="B593" s="422"/>
      <c r="C593" s="423">
        <v>-2.4910436627312554E-2</v>
      </c>
      <c r="D593" s="424">
        <v>6.1987613107229507E-2</v>
      </c>
      <c r="E593" s="424">
        <v>6.5607447690767651E-2</v>
      </c>
      <c r="F593" s="424">
        <v>3.8723100254803432E-2</v>
      </c>
      <c r="G593" s="424">
        <v>4.4478267833700409E-2</v>
      </c>
      <c r="H593" s="424">
        <v>-5.4558232572040656E-2</v>
      </c>
      <c r="I593" s="424">
        <v>-7.0044824718521132E-3</v>
      </c>
      <c r="J593" s="426">
        <v>1.4451936464599619E-2</v>
      </c>
      <c r="K593" s="426">
        <v>3.8223544189454773E-4</v>
      </c>
      <c r="L593" s="424">
        <v>-1.8187813101360254E-2</v>
      </c>
      <c r="M593" s="424">
        <v>0.10975283668712248</v>
      </c>
      <c r="N593" s="424">
        <v>-0.23257452078624605</v>
      </c>
      <c r="O593" s="426">
        <v>-1.4417566649005745E-2</v>
      </c>
      <c r="P593" s="426">
        <v>1.0799182314334341E-3</v>
      </c>
      <c r="Q593" s="424">
        <v>0</v>
      </c>
      <c r="R593" s="426">
        <v>4.0871626149950949E-4</v>
      </c>
      <c r="S593" s="426">
        <v>0</v>
      </c>
      <c r="T593" s="426">
        <v>0</v>
      </c>
      <c r="U593" s="426">
        <v>1.3707446514053118E-4</v>
      </c>
      <c r="V593" s="421"/>
    </row>
    <row r="594" spans="1:22">
      <c r="A594" s="416" t="s">
        <v>635</v>
      </c>
      <c r="B594" s="394"/>
      <c r="C594" s="413">
        <v>2.1399539390034978E-3</v>
      </c>
      <c r="D594" s="414">
        <v>8.6064155214832967E-3</v>
      </c>
      <c r="E594" s="414">
        <v>7.7994982115787937E-3</v>
      </c>
      <c r="F594" s="414">
        <v>5.6598108336183318E-4</v>
      </c>
      <c r="G594" s="414">
        <v>8.3229678950920861E-3</v>
      </c>
      <c r="H594" s="414">
        <v>0</v>
      </c>
      <c r="I594" s="414">
        <v>0</v>
      </c>
      <c r="J594" s="415">
        <v>4.2475168042633519E-3</v>
      </c>
      <c r="K594" s="415">
        <v>4.2904867875432681E-3</v>
      </c>
      <c r="L594" s="414">
        <v>4.0386227993519678E-3</v>
      </c>
      <c r="M594" s="414">
        <v>6.3309443920643443E-3</v>
      </c>
      <c r="N594" s="414">
        <v>4.3709368466688769E-4</v>
      </c>
      <c r="O594" s="415">
        <v>4.2448633639352402E-3</v>
      </c>
      <c r="P594" s="415">
        <v>0</v>
      </c>
      <c r="Q594" s="414">
        <v>0</v>
      </c>
      <c r="R594" s="415">
        <v>0</v>
      </c>
      <c r="S594" s="415">
        <v>0</v>
      </c>
      <c r="T594" s="415">
        <v>0</v>
      </c>
      <c r="U594" s="415">
        <v>4.1125241334686955E-3</v>
      </c>
      <c r="V594" s="421"/>
    </row>
    <row r="595" spans="1:22">
      <c r="A595" s="416" t="s">
        <v>636</v>
      </c>
      <c r="B595" s="417"/>
      <c r="C595" s="418">
        <v>2.1256823976635538E-3</v>
      </c>
      <c r="D595" s="419">
        <v>8.5403866879137195E-3</v>
      </c>
      <c r="E595" s="419">
        <v>7.0393416653537454E-3</v>
      </c>
      <c r="F595" s="419">
        <v>4.8797597709006497E-4</v>
      </c>
      <c r="G595" s="419">
        <v>6.945550589929678E-3</v>
      </c>
      <c r="H595" s="419">
        <v>5.023747482702895E-6</v>
      </c>
      <c r="I595" s="419">
        <v>0</v>
      </c>
      <c r="J595" s="420">
        <v>3.9497424863637175E-3</v>
      </c>
      <c r="K595" s="420">
        <v>4.4070219515237848E-3</v>
      </c>
      <c r="L595" s="419">
        <v>4.3681606397432213E-3</v>
      </c>
      <c r="M595" s="419">
        <v>8.1860717853457152E-3</v>
      </c>
      <c r="N595" s="419">
        <v>1.5848058540672656E-3</v>
      </c>
      <c r="O595" s="420">
        <v>4.9340157201835863E-3</v>
      </c>
      <c r="P595" s="420">
        <v>0</v>
      </c>
      <c r="Q595" s="419">
        <v>0</v>
      </c>
      <c r="R595" s="420">
        <v>0</v>
      </c>
      <c r="S595" s="420">
        <v>0</v>
      </c>
      <c r="T595" s="420">
        <v>0</v>
      </c>
      <c r="U595" s="420">
        <v>4.2058118044228689E-3</v>
      </c>
      <c r="V595" s="421"/>
    </row>
    <row r="596" spans="1:22">
      <c r="A596" s="416" t="s">
        <v>637</v>
      </c>
      <c r="B596" s="422"/>
      <c r="C596" s="423">
        <v>-1.4271541339943954E-3</v>
      </c>
      <c r="D596" s="424">
        <v>-6.6028833569577172E-3</v>
      </c>
      <c r="E596" s="424">
        <v>-7.6015654622504841E-2</v>
      </c>
      <c r="F596" s="424">
        <v>-7.800510627176821E-3</v>
      </c>
      <c r="G596" s="424">
        <v>-0.13774173051624081</v>
      </c>
      <c r="H596" s="424">
        <v>0</v>
      </c>
      <c r="I596" s="424">
        <v>0</v>
      </c>
      <c r="J596" s="426">
        <v>-2.9777431789963435E-2</v>
      </c>
      <c r="K596" s="426">
        <v>1.1653516398051674E-2</v>
      </c>
      <c r="L596" s="424">
        <v>3.2953784039125356E-2</v>
      </c>
      <c r="M596" s="424">
        <v>0.18551273932813708</v>
      </c>
      <c r="N596" s="424">
        <v>0.11477121694003778</v>
      </c>
      <c r="O596" s="426">
        <v>6.8915235624834606E-2</v>
      </c>
      <c r="P596" s="426">
        <v>0</v>
      </c>
      <c r="Q596" s="424">
        <v>0</v>
      </c>
      <c r="R596" s="426">
        <v>0</v>
      </c>
      <c r="S596" s="426">
        <v>0</v>
      </c>
      <c r="T596" s="426">
        <v>0</v>
      </c>
      <c r="U596" s="426">
        <v>9.3287670954173355E-3</v>
      </c>
      <c r="V596" s="421"/>
    </row>
    <row r="597" spans="1:22">
      <c r="A597" s="416" t="s">
        <v>638</v>
      </c>
      <c r="B597" s="394"/>
      <c r="C597" s="413">
        <v>7.1966059746100483E-4</v>
      </c>
      <c r="D597" s="414">
        <v>1.584455073350081E-3</v>
      </c>
      <c r="E597" s="414">
        <v>5.277139933756135E-4</v>
      </c>
      <c r="F597" s="414">
        <v>4.0721817191836902E-4</v>
      </c>
      <c r="G597" s="414">
        <v>9.8963021607716505E-5</v>
      </c>
      <c r="H597" s="414">
        <v>0</v>
      </c>
      <c r="I597" s="414">
        <v>0</v>
      </c>
      <c r="J597" s="415">
        <v>6.5216060895605305E-4</v>
      </c>
      <c r="K597" s="415">
        <v>3.5414445200443369E-4</v>
      </c>
      <c r="L597" s="414">
        <v>1.1199375646070177E-4</v>
      </c>
      <c r="M597" s="414">
        <v>2.1400124085031575E-4</v>
      </c>
      <c r="N597" s="414">
        <v>4.328858032260512E-4</v>
      </c>
      <c r="O597" s="415">
        <v>2.435340782509784E-4</v>
      </c>
      <c r="P597" s="415">
        <v>0</v>
      </c>
      <c r="Q597" s="414">
        <v>0</v>
      </c>
      <c r="R597" s="415">
        <v>0</v>
      </c>
      <c r="S597" s="415">
        <v>0</v>
      </c>
      <c r="T597" s="415">
        <v>0</v>
      </c>
      <c r="U597" s="415">
        <v>4.6695532972907658E-4</v>
      </c>
      <c r="V597" s="421"/>
    </row>
    <row r="598" spans="1:22">
      <c r="A598" s="416" t="s">
        <v>639</v>
      </c>
      <c r="B598" s="417"/>
      <c r="C598" s="418">
        <v>7.6309073681370186E-4</v>
      </c>
      <c r="D598" s="419">
        <v>1.6257175049008779E-3</v>
      </c>
      <c r="E598" s="419">
        <v>4.2847945142130783E-4</v>
      </c>
      <c r="F598" s="419">
        <v>2.0688382438841465E-4</v>
      </c>
      <c r="G598" s="419">
        <v>1.4777767212616338E-4</v>
      </c>
      <c r="H598" s="419">
        <v>0</v>
      </c>
      <c r="I598" s="419">
        <v>0</v>
      </c>
      <c r="J598" s="420">
        <v>6.3162343056654866E-4</v>
      </c>
      <c r="K598" s="420">
        <v>3.8486037949628108E-4</v>
      </c>
      <c r="L598" s="419">
        <v>1.1597140060501736E-4</v>
      </c>
      <c r="M598" s="419">
        <v>2.3178138711322044E-4</v>
      </c>
      <c r="N598" s="419">
        <v>5.7830036141117666E-5</v>
      </c>
      <c r="O598" s="420">
        <v>2.1415113712928199E-4</v>
      </c>
      <c r="P598" s="420">
        <v>0</v>
      </c>
      <c r="Q598" s="419">
        <v>0</v>
      </c>
      <c r="R598" s="420">
        <v>0</v>
      </c>
      <c r="S598" s="420">
        <v>0</v>
      </c>
      <c r="T598" s="420">
        <v>0</v>
      </c>
      <c r="U598" s="420">
        <v>4.4668046067884151E-4</v>
      </c>
      <c r="V598" s="421"/>
    </row>
    <row r="599" spans="1:22" ht="15" thickBot="1">
      <c r="A599" s="416" t="s">
        <v>640</v>
      </c>
      <c r="B599" s="428"/>
      <c r="C599" s="429">
        <v>4.3430139352697034E-3</v>
      </c>
      <c r="D599" s="430">
        <v>4.126243155079686E-3</v>
      </c>
      <c r="E599" s="430">
        <v>-9.9234541954305675E-3</v>
      </c>
      <c r="F599" s="430">
        <v>-2.0033434752995436E-2</v>
      </c>
      <c r="G599" s="430">
        <v>4.8814650518446872E-3</v>
      </c>
      <c r="H599" s="430">
        <v>0</v>
      </c>
      <c r="I599" s="430">
        <v>0</v>
      </c>
      <c r="J599" s="431">
        <v>-2.0537178389504391E-3</v>
      </c>
      <c r="K599" s="431">
        <v>3.0715927491847383E-3</v>
      </c>
      <c r="L599" s="430">
        <v>3.977644144315584E-4</v>
      </c>
      <c r="M599" s="430">
        <v>1.7780146262904683E-3</v>
      </c>
      <c r="N599" s="430">
        <v>-3.7505576708493353E-2</v>
      </c>
      <c r="O599" s="431">
        <v>-2.9382941121696413E-3</v>
      </c>
      <c r="P599" s="431">
        <v>0</v>
      </c>
      <c r="Q599" s="430">
        <v>0</v>
      </c>
      <c r="R599" s="431">
        <v>0</v>
      </c>
      <c r="S599" s="431">
        <v>0</v>
      </c>
      <c r="T599" s="431">
        <v>0</v>
      </c>
      <c r="U599" s="431">
        <v>-2.0274869050235069E-3</v>
      </c>
      <c r="V599" s="421"/>
    </row>
    <row r="600" spans="1:22" ht="15" thickTop="1">
      <c r="A600" s="416" t="s">
        <v>641</v>
      </c>
      <c r="B600" s="417"/>
      <c r="C600" s="418">
        <v>0.74315178730460618</v>
      </c>
      <c r="D600" s="419">
        <v>0.65561362036463011</v>
      </c>
      <c r="E600" s="419">
        <v>0.4775514786987512</v>
      </c>
      <c r="F600" s="419">
        <v>0.55550469522636581</v>
      </c>
      <c r="G600" s="419">
        <v>0.37904314611270279</v>
      </c>
      <c r="H600" s="419">
        <v>0.39224947362431001</v>
      </c>
      <c r="I600" s="419">
        <v>0.16661885891756173</v>
      </c>
      <c r="J600" s="420">
        <v>0.63052451242019392</v>
      </c>
      <c r="K600" s="420">
        <v>0</v>
      </c>
      <c r="L600" s="419">
        <v>0</v>
      </c>
      <c r="M600" s="419">
        <v>0</v>
      </c>
      <c r="N600" s="419">
        <v>0</v>
      </c>
      <c r="O600" s="420">
        <v>0</v>
      </c>
      <c r="P600" s="420">
        <v>0</v>
      </c>
      <c r="Q600" s="419">
        <v>0</v>
      </c>
      <c r="R600" s="420">
        <v>0</v>
      </c>
      <c r="S600" s="420">
        <v>0</v>
      </c>
      <c r="T600" s="420">
        <v>0</v>
      </c>
      <c r="U600" s="420">
        <v>0.63052451242019392</v>
      </c>
      <c r="V600" s="421"/>
    </row>
    <row r="601" spans="1:22">
      <c r="A601" s="416" t="s">
        <v>642</v>
      </c>
      <c r="B601" s="417"/>
      <c r="C601" s="418">
        <v>0.73155400270045889</v>
      </c>
      <c r="D601" s="419">
        <v>0.60837892085222789</v>
      </c>
      <c r="E601" s="419">
        <v>0.4399101704891803</v>
      </c>
      <c r="F601" s="419">
        <v>0.51300335158353672</v>
      </c>
      <c r="G601" s="419">
        <v>0.31682940536906407</v>
      </c>
      <c r="H601" s="419">
        <v>0.35663707271485567</v>
      </c>
      <c r="I601" s="419">
        <v>0.30275741226072822</v>
      </c>
      <c r="J601" s="420">
        <v>0.60729881198454738</v>
      </c>
      <c r="K601" s="420">
        <v>0</v>
      </c>
      <c r="L601" s="419">
        <v>0</v>
      </c>
      <c r="M601" s="419">
        <v>0</v>
      </c>
      <c r="N601" s="419">
        <v>0</v>
      </c>
      <c r="O601" s="420">
        <v>0</v>
      </c>
      <c r="P601" s="420">
        <v>0</v>
      </c>
      <c r="Q601" s="419">
        <v>0</v>
      </c>
      <c r="R601" s="420">
        <v>0</v>
      </c>
      <c r="S601" s="420">
        <v>0</v>
      </c>
      <c r="T601" s="420">
        <v>0</v>
      </c>
      <c r="U601" s="420">
        <v>0.60729854924226656</v>
      </c>
      <c r="V601" s="421"/>
    </row>
    <row r="602" spans="1:22">
      <c r="A602" s="416" t="s">
        <v>643</v>
      </c>
      <c r="B602" s="422"/>
      <c r="C602" s="423">
        <v>-1.1597784604147288</v>
      </c>
      <c r="D602" s="424">
        <v>-4.7234699512402223</v>
      </c>
      <c r="E602" s="424">
        <v>-3.7641308209570901</v>
      </c>
      <c r="F602" s="424">
        <v>-4.2501343642829088</v>
      </c>
      <c r="G602" s="424">
        <v>-6.2213740743638724</v>
      </c>
      <c r="H602" s="424">
        <v>-3.5612400909454331</v>
      </c>
      <c r="I602" s="424">
        <v>13.61385533431665</v>
      </c>
      <c r="J602" s="426">
        <v>-2.3225700435646535</v>
      </c>
      <c r="K602" s="426">
        <v>0</v>
      </c>
      <c r="L602" s="424">
        <v>0</v>
      </c>
      <c r="M602" s="424">
        <v>0</v>
      </c>
      <c r="N602" s="424">
        <v>0</v>
      </c>
      <c r="O602" s="426">
        <v>0</v>
      </c>
      <c r="P602" s="426">
        <v>0</v>
      </c>
      <c r="Q602" s="424">
        <v>0</v>
      </c>
      <c r="R602" s="426">
        <v>0</v>
      </c>
      <c r="S602" s="426">
        <v>0</v>
      </c>
      <c r="T602" s="426">
        <v>0</v>
      </c>
      <c r="U602" s="426">
        <v>-2.3225963177927356</v>
      </c>
      <c r="V602" s="421"/>
    </row>
    <row r="603" spans="1:22">
      <c r="A603" s="416" t="s">
        <v>644</v>
      </c>
      <c r="B603" s="394"/>
      <c r="C603" s="413">
        <v>7.7176923903126263E-2</v>
      </c>
      <c r="D603" s="414">
        <v>3.2614805321746008E-2</v>
      </c>
      <c r="E603" s="414">
        <v>4.1174908890995635E-2</v>
      </c>
      <c r="F603" s="414">
        <v>3.6689529387587343E-2</v>
      </c>
      <c r="G603" s="414">
        <v>2.9204601118186579E-2</v>
      </c>
      <c r="H603" s="414">
        <v>5.9750753997609967E-3</v>
      </c>
      <c r="I603" s="414">
        <v>3.3720399035345863E-2</v>
      </c>
      <c r="J603" s="415">
        <v>5.7820280268114241E-2</v>
      </c>
      <c r="K603" s="415">
        <v>0</v>
      </c>
      <c r="L603" s="414">
        <v>0</v>
      </c>
      <c r="M603" s="414">
        <v>0</v>
      </c>
      <c r="N603" s="414">
        <v>0</v>
      </c>
      <c r="O603" s="415">
        <v>0</v>
      </c>
      <c r="P603" s="415">
        <v>0</v>
      </c>
      <c r="Q603" s="414">
        <v>0</v>
      </c>
      <c r="R603" s="415">
        <v>0</v>
      </c>
      <c r="S603" s="415">
        <v>0</v>
      </c>
      <c r="T603" s="415">
        <v>0</v>
      </c>
      <c r="U603" s="415">
        <v>5.7820280268114241E-2</v>
      </c>
      <c r="V603" s="421"/>
    </row>
    <row r="604" spans="1:22">
      <c r="A604" s="416" t="s">
        <v>645</v>
      </c>
      <c r="B604" s="417"/>
      <c r="C604" s="418">
        <v>7.7697854994753138E-2</v>
      </c>
      <c r="D604" s="419">
        <v>4.0795024328364668E-2</v>
      </c>
      <c r="E604" s="419">
        <v>4.3528855841955837E-2</v>
      </c>
      <c r="F604" s="419">
        <v>3.1285039259267192E-2</v>
      </c>
      <c r="G604" s="419">
        <v>2.1219936235142105E-2</v>
      </c>
      <c r="H604" s="419">
        <v>4.1587290176485388E-2</v>
      </c>
      <c r="I604" s="419">
        <v>4.1745707659411484E-2</v>
      </c>
      <c r="J604" s="420">
        <v>5.8792053503045526E-2</v>
      </c>
      <c r="K604" s="420">
        <v>0</v>
      </c>
      <c r="L604" s="419">
        <v>0</v>
      </c>
      <c r="M604" s="419">
        <v>0</v>
      </c>
      <c r="N604" s="419">
        <v>0</v>
      </c>
      <c r="O604" s="420">
        <v>0</v>
      </c>
      <c r="P604" s="420">
        <v>0</v>
      </c>
      <c r="Q604" s="419">
        <v>0</v>
      </c>
      <c r="R604" s="420">
        <v>0</v>
      </c>
      <c r="S604" s="420">
        <v>0</v>
      </c>
      <c r="T604" s="420">
        <v>0</v>
      </c>
      <c r="U604" s="420">
        <v>5.8792028067200887E-2</v>
      </c>
      <c r="V604" s="421"/>
    </row>
    <row r="605" spans="1:22">
      <c r="A605" s="416" t="s">
        <v>646</v>
      </c>
      <c r="B605" s="422"/>
      <c r="C605" s="423">
        <v>5.2093109162687501E-2</v>
      </c>
      <c r="D605" s="424">
        <v>0.81802190066186597</v>
      </c>
      <c r="E605" s="424">
        <v>0.23539469509602021</v>
      </c>
      <c r="F605" s="424">
        <v>-0.54044901283201507</v>
      </c>
      <c r="G605" s="424">
        <v>-0.79846648830444733</v>
      </c>
      <c r="H605" s="424">
        <v>3.5612214776724391</v>
      </c>
      <c r="I605" s="424">
        <v>0.80253086240656202</v>
      </c>
      <c r="J605" s="426">
        <v>9.7177323493128492E-2</v>
      </c>
      <c r="K605" s="426">
        <v>0</v>
      </c>
      <c r="L605" s="424">
        <v>0</v>
      </c>
      <c r="M605" s="424">
        <v>0</v>
      </c>
      <c r="N605" s="424">
        <v>0</v>
      </c>
      <c r="O605" s="426">
        <v>0</v>
      </c>
      <c r="P605" s="426">
        <v>0</v>
      </c>
      <c r="Q605" s="424">
        <v>0</v>
      </c>
      <c r="R605" s="426">
        <v>0</v>
      </c>
      <c r="S605" s="426">
        <v>0</v>
      </c>
      <c r="T605" s="426">
        <v>0</v>
      </c>
      <c r="U605" s="426">
        <v>9.7174779908664605E-2</v>
      </c>
      <c r="V605" s="421"/>
    </row>
    <row r="606" spans="1:22">
      <c r="A606" s="416" t="s">
        <v>647</v>
      </c>
      <c r="B606" s="394"/>
      <c r="C606" s="413">
        <v>0.16481069365127893</v>
      </c>
      <c r="D606" s="414">
        <v>0.30267518955560052</v>
      </c>
      <c r="E606" s="414">
        <v>0.46776860670583753</v>
      </c>
      <c r="F606" s="414">
        <v>0.4020884896277237</v>
      </c>
      <c r="G606" s="414">
        <v>0.5712127530815948</v>
      </c>
      <c r="H606" s="414">
        <v>0.60177545097592899</v>
      </c>
      <c r="I606" s="414">
        <v>0.79627878646226202</v>
      </c>
      <c r="J606" s="415">
        <v>0.2989967767503291</v>
      </c>
      <c r="K606" s="415">
        <v>0</v>
      </c>
      <c r="L606" s="414">
        <v>0</v>
      </c>
      <c r="M606" s="414">
        <v>0</v>
      </c>
      <c r="N606" s="414">
        <v>0</v>
      </c>
      <c r="O606" s="415">
        <v>0</v>
      </c>
      <c r="P606" s="415">
        <v>0</v>
      </c>
      <c r="Q606" s="414">
        <v>0</v>
      </c>
      <c r="R606" s="415">
        <v>0</v>
      </c>
      <c r="S606" s="415">
        <v>0</v>
      </c>
      <c r="T606" s="415">
        <v>0</v>
      </c>
      <c r="U606" s="415">
        <v>0.2989967767503291</v>
      </c>
      <c r="V606" s="421"/>
    </row>
    <row r="607" spans="1:22">
      <c r="A607" s="416" t="s">
        <v>648</v>
      </c>
      <c r="B607" s="417"/>
      <c r="C607" s="418">
        <v>0.17578120889378851</v>
      </c>
      <c r="D607" s="419">
        <v>0.34198908042416154</v>
      </c>
      <c r="E607" s="419">
        <v>0.50447994619675096</v>
      </c>
      <c r="F607" s="419">
        <v>0.45073402663472134</v>
      </c>
      <c r="G607" s="419">
        <v>0.64355129289289714</v>
      </c>
      <c r="H607" s="419">
        <v>0.60177563710865889</v>
      </c>
      <c r="I607" s="419">
        <v>0.6546976738575121</v>
      </c>
      <c r="J607" s="420">
        <v>0.32185279853329085</v>
      </c>
      <c r="K607" s="420">
        <v>0</v>
      </c>
      <c r="L607" s="419">
        <v>0</v>
      </c>
      <c r="M607" s="419">
        <v>0</v>
      </c>
      <c r="N607" s="419">
        <v>1</v>
      </c>
      <c r="O607" s="420">
        <v>1</v>
      </c>
      <c r="P607" s="420">
        <v>0</v>
      </c>
      <c r="Q607" s="419">
        <v>0</v>
      </c>
      <c r="R607" s="420">
        <v>0</v>
      </c>
      <c r="S607" s="420">
        <v>0</v>
      </c>
      <c r="T607" s="420">
        <v>0</v>
      </c>
      <c r="U607" s="420">
        <v>0.32185309192747991</v>
      </c>
      <c r="V607" s="421"/>
    </row>
    <row r="608" spans="1:22">
      <c r="A608" s="416" t="s">
        <v>649</v>
      </c>
      <c r="B608" s="422"/>
      <c r="C608" s="423">
        <v>1.0970515242509582</v>
      </c>
      <c r="D608" s="424">
        <v>3.9313890868561021</v>
      </c>
      <c r="E608" s="424">
        <v>3.6711339490913431</v>
      </c>
      <c r="F608" s="424">
        <v>4.8645537006997639</v>
      </c>
      <c r="G608" s="424">
        <v>7.2338539811302338</v>
      </c>
      <c r="H608" s="424">
        <v>1.8613272989576046E-5</v>
      </c>
      <c r="I608" s="424">
        <v>-14.158111260474993</v>
      </c>
      <c r="J608" s="426">
        <v>2.2856021782961755</v>
      </c>
      <c r="K608" s="426">
        <v>0</v>
      </c>
      <c r="L608" s="424">
        <v>0</v>
      </c>
      <c r="M608" s="424">
        <v>0</v>
      </c>
      <c r="N608" s="424">
        <v>0</v>
      </c>
      <c r="O608" s="426">
        <v>0</v>
      </c>
      <c r="P608" s="426">
        <v>0</v>
      </c>
      <c r="Q608" s="424">
        <v>0</v>
      </c>
      <c r="R608" s="426">
        <v>0</v>
      </c>
      <c r="S608" s="426">
        <v>0</v>
      </c>
      <c r="T608" s="426">
        <v>0</v>
      </c>
      <c r="U608" s="426">
        <v>2.285631517715081</v>
      </c>
      <c r="V608" s="421"/>
    </row>
    <row r="609" spans="1:22">
      <c r="A609" s="416" t="s">
        <v>650</v>
      </c>
      <c r="B609" s="394"/>
      <c r="C609" s="413">
        <v>1.083798552088576E-2</v>
      </c>
      <c r="D609" s="414">
        <v>3.2660364163060424E-4</v>
      </c>
      <c r="E609" s="414">
        <v>7.2463131318302532E-3</v>
      </c>
      <c r="F609" s="414">
        <v>5.4331072749691737E-3</v>
      </c>
      <c r="G609" s="414">
        <v>6.1708584587492751E-3</v>
      </c>
      <c r="H609" s="414">
        <v>0</v>
      </c>
      <c r="I609" s="414">
        <v>1.235918847231223E-3</v>
      </c>
      <c r="J609" s="415">
        <v>7.785258592799253E-3</v>
      </c>
      <c r="K609" s="415">
        <v>0</v>
      </c>
      <c r="L609" s="414">
        <v>0</v>
      </c>
      <c r="M609" s="414">
        <v>0</v>
      </c>
      <c r="N609" s="414">
        <v>0</v>
      </c>
      <c r="O609" s="415">
        <v>0</v>
      </c>
      <c r="P609" s="415">
        <v>0</v>
      </c>
      <c r="Q609" s="414">
        <v>0</v>
      </c>
      <c r="R609" s="415">
        <v>0</v>
      </c>
      <c r="S609" s="415">
        <v>0</v>
      </c>
      <c r="T609" s="415">
        <v>0</v>
      </c>
      <c r="U609" s="415">
        <v>7.785258592799253E-3</v>
      </c>
      <c r="V609" s="421"/>
    </row>
    <row r="610" spans="1:22">
      <c r="A610" s="416" t="s">
        <v>651</v>
      </c>
      <c r="B610" s="417"/>
      <c r="C610" s="418">
        <v>1.1172642573685946E-2</v>
      </c>
      <c r="D610" s="419">
        <v>3.9774811645480588E-4</v>
      </c>
      <c r="E610" s="419">
        <v>5.2305541923189256E-3</v>
      </c>
      <c r="F610" s="419">
        <v>4.78790205757414E-3</v>
      </c>
      <c r="G610" s="419">
        <v>6.2766890596521819E-3</v>
      </c>
      <c r="H610" s="419">
        <v>0</v>
      </c>
      <c r="I610" s="419">
        <v>7.9920622234821873E-4</v>
      </c>
      <c r="J610" s="420">
        <v>7.4031372936756469E-3</v>
      </c>
      <c r="K610" s="420">
        <v>0</v>
      </c>
      <c r="L610" s="419">
        <v>0</v>
      </c>
      <c r="M610" s="419">
        <v>0</v>
      </c>
      <c r="N610" s="419">
        <v>0</v>
      </c>
      <c r="O610" s="420">
        <v>0</v>
      </c>
      <c r="P610" s="420">
        <v>0</v>
      </c>
      <c r="Q610" s="419">
        <v>0</v>
      </c>
      <c r="R610" s="420">
        <v>0</v>
      </c>
      <c r="S610" s="420">
        <v>0</v>
      </c>
      <c r="T610" s="420">
        <v>0</v>
      </c>
      <c r="U610" s="420">
        <v>7.4031340907759549E-3</v>
      </c>
      <c r="V610" s="421"/>
    </row>
    <row r="611" spans="1:22">
      <c r="A611" s="416" t="s">
        <v>652</v>
      </c>
      <c r="B611" s="422"/>
      <c r="C611" s="423">
        <v>3.3465705280018646E-2</v>
      </c>
      <c r="D611" s="424">
        <v>7.114447482420164E-3</v>
      </c>
      <c r="E611" s="424">
        <v>-0.20157589395113276</v>
      </c>
      <c r="F611" s="424">
        <v>-6.4520521739503373E-2</v>
      </c>
      <c r="G611" s="424">
        <v>1.0583060090290676E-2</v>
      </c>
      <c r="H611" s="424">
        <v>0</v>
      </c>
      <c r="I611" s="424">
        <v>-4.367126248830043E-2</v>
      </c>
      <c r="J611" s="426">
        <v>-3.8212129912360615E-2</v>
      </c>
      <c r="K611" s="426">
        <v>0</v>
      </c>
      <c r="L611" s="424">
        <v>0</v>
      </c>
      <c r="M611" s="424">
        <v>0</v>
      </c>
      <c r="N611" s="424">
        <v>0</v>
      </c>
      <c r="O611" s="426">
        <v>0</v>
      </c>
      <c r="P611" s="426">
        <v>0</v>
      </c>
      <c r="Q611" s="424">
        <v>0</v>
      </c>
      <c r="R611" s="426">
        <v>0</v>
      </c>
      <c r="S611" s="426">
        <v>0</v>
      </c>
      <c r="T611" s="426">
        <v>0</v>
      </c>
      <c r="U611" s="426">
        <v>-3.8212450202329815E-2</v>
      </c>
      <c r="V611" s="421"/>
    </row>
    <row r="612" spans="1:22">
      <c r="A612" s="416" t="s">
        <v>653</v>
      </c>
      <c r="B612" s="394"/>
      <c r="C612" s="413">
        <v>2.4454342354635911E-3</v>
      </c>
      <c r="D612" s="414">
        <v>3.3689875642113412E-3</v>
      </c>
      <c r="E612" s="414">
        <v>4.8808611148309254E-3</v>
      </c>
      <c r="F612" s="414">
        <v>1.3968094944512947E-4</v>
      </c>
      <c r="G612" s="414">
        <v>1.4368641228766561E-2</v>
      </c>
      <c r="H612" s="414">
        <v>0</v>
      </c>
      <c r="I612" s="414">
        <v>2.1460367375992009E-3</v>
      </c>
      <c r="J612" s="415">
        <v>3.0960574184874562E-3</v>
      </c>
      <c r="K612" s="415">
        <v>0</v>
      </c>
      <c r="L612" s="414">
        <v>0</v>
      </c>
      <c r="M612" s="414">
        <v>0</v>
      </c>
      <c r="N612" s="414">
        <v>0</v>
      </c>
      <c r="O612" s="415">
        <v>0</v>
      </c>
      <c r="P612" s="415">
        <v>0</v>
      </c>
      <c r="Q612" s="414">
        <v>0</v>
      </c>
      <c r="R612" s="415">
        <v>0</v>
      </c>
      <c r="S612" s="415">
        <v>0</v>
      </c>
      <c r="T612" s="415">
        <v>0</v>
      </c>
      <c r="U612" s="415">
        <v>3.0960574184874562E-3</v>
      </c>
      <c r="V612" s="421"/>
    </row>
    <row r="613" spans="1:22">
      <c r="A613" s="416" t="s">
        <v>654</v>
      </c>
      <c r="B613" s="417"/>
      <c r="C613" s="418">
        <v>2.2545786134761702E-3</v>
      </c>
      <c r="D613" s="419">
        <v>3.3022082323747866E-3</v>
      </c>
      <c r="E613" s="419">
        <v>5.6392033088064038E-3</v>
      </c>
      <c r="F613" s="419">
        <v>1.116667253044448E-4</v>
      </c>
      <c r="G613" s="419">
        <v>1.2122676443244549E-2</v>
      </c>
      <c r="H613" s="419">
        <v>0</v>
      </c>
      <c r="I613" s="419">
        <v>0</v>
      </c>
      <c r="J613" s="420">
        <v>2.9729650685040949E-3</v>
      </c>
      <c r="K613" s="420">
        <v>0</v>
      </c>
      <c r="L613" s="419">
        <v>0</v>
      </c>
      <c r="M613" s="419">
        <v>0</v>
      </c>
      <c r="N613" s="419">
        <v>0</v>
      </c>
      <c r="O613" s="420">
        <v>0</v>
      </c>
      <c r="P613" s="420">
        <v>0</v>
      </c>
      <c r="Q613" s="419">
        <v>0</v>
      </c>
      <c r="R613" s="420">
        <v>0</v>
      </c>
      <c r="S613" s="420">
        <v>0</v>
      </c>
      <c r="T613" s="420">
        <v>0</v>
      </c>
      <c r="U613" s="420">
        <v>2.9729637822779281E-3</v>
      </c>
      <c r="V613" s="421"/>
    </row>
    <row r="614" spans="1:22">
      <c r="A614" s="416" t="s">
        <v>655</v>
      </c>
      <c r="B614" s="422"/>
      <c r="C614" s="423">
        <v>-1.9085562198742096E-2</v>
      </c>
      <c r="D614" s="424">
        <v>-6.6779331836554646E-3</v>
      </c>
      <c r="E614" s="424">
        <v>7.5834219397547836E-2</v>
      </c>
      <c r="F614" s="424">
        <v>-2.801422414068467E-3</v>
      </c>
      <c r="G614" s="424">
        <v>-0.22459647855220116</v>
      </c>
      <c r="H614" s="424">
        <v>0</v>
      </c>
      <c r="I614" s="424">
        <v>-0.21460367375992009</v>
      </c>
      <c r="J614" s="426">
        <v>-1.230923499833613E-2</v>
      </c>
      <c r="K614" s="426">
        <v>0</v>
      </c>
      <c r="L614" s="424">
        <v>0</v>
      </c>
      <c r="M614" s="424">
        <v>0</v>
      </c>
      <c r="N614" s="424">
        <v>0</v>
      </c>
      <c r="O614" s="426">
        <v>0</v>
      </c>
      <c r="P614" s="426">
        <v>0</v>
      </c>
      <c r="Q614" s="424">
        <v>0</v>
      </c>
      <c r="R614" s="426">
        <v>0</v>
      </c>
      <c r="S614" s="426">
        <v>0</v>
      </c>
      <c r="T614" s="426">
        <v>0</v>
      </c>
      <c r="U614" s="426">
        <v>-1.230936362095281E-2</v>
      </c>
      <c r="V614" s="421"/>
    </row>
    <row r="615" spans="1:22">
      <c r="A615" s="416" t="s">
        <v>656</v>
      </c>
      <c r="B615" s="394"/>
      <c r="C615" s="413">
        <v>1.5771753846392414E-3</v>
      </c>
      <c r="D615" s="414">
        <v>5.4007935521814413E-3</v>
      </c>
      <c r="E615" s="414">
        <v>1.3778314577545508E-3</v>
      </c>
      <c r="F615" s="414">
        <v>1.4449753390875463E-4</v>
      </c>
      <c r="G615" s="414">
        <v>0</v>
      </c>
      <c r="H615" s="414">
        <v>0</v>
      </c>
      <c r="I615" s="414">
        <v>0</v>
      </c>
      <c r="J615" s="415">
        <v>1.7771145500760808E-3</v>
      </c>
      <c r="K615" s="415">
        <v>0</v>
      </c>
      <c r="L615" s="414">
        <v>0</v>
      </c>
      <c r="M615" s="414">
        <v>0</v>
      </c>
      <c r="N615" s="414">
        <v>0</v>
      </c>
      <c r="O615" s="415">
        <v>0</v>
      </c>
      <c r="P615" s="415">
        <v>0</v>
      </c>
      <c r="Q615" s="414">
        <v>0</v>
      </c>
      <c r="R615" s="415">
        <v>0</v>
      </c>
      <c r="S615" s="415">
        <v>0</v>
      </c>
      <c r="T615" s="415">
        <v>0</v>
      </c>
      <c r="U615" s="415">
        <v>1.7771145500760808E-3</v>
      </c>
      <c r="V615" s="421"/>
    </row>
    <row r="616" spans="1:22">
      <c r="A616" s="416" t="s">
        <v>657</v>
      </c>
      <c r="B616" s="417"/>
      <c r="C616" s="418">
        <v>1.5397122238373845E-3</v>
      </c>
      <c r="D616" s="419">
        <v>5.1370180464163067E-3</v>
      </c>
      <c r="E616" s="419">
        <v>1.2112699709874576E-3</v>
      </c>
      <c r="F616" s="419">
        <v>7.8013739596255956E-5</v>
      </c>
      <c r="G616" s="419">
        <v>0</v>
      </c>
      <c r="H616" s="419">
        <v>0</v>
      </c>
      <c r="I616" s="419">
        <v>0</v>
      </c>
      <c r="J616" s="420">
        <v>1.68023361693627E-3</v>
      </c>
      <c r="K616" s="420">
        <v>0</v>
      </c>
      <c r="L616" s="419">
        <v>0</v>
      </c>
      <c r="M616" s="419">
        <v>0</v>
      </c>
      <c r="N616" s="419">
        <v>0</v>
      </c>
      <c r="O616" s="420">
        <v>0</v>
      </c>
      <c r="P616" s="420">
        <v>0</v>
      </c>
      <c r="Q616" s="419">
        <v>0</v>
      </c>
      <c r="R616" s="420">
        <v>0</v>
      </c>
      <c r="S616" s="420">
        <v>0</v>
      </c>
      <c r="T616" s="420">
        <v>0</v>
      </c>
      <c r="U616" s="420">
        <v>1.6802328899985517E-3</v>
      </c>
      <c r="V616" s="421"/>
    </row>
    <row r="617" spans="1:22">
      <c r="A617" s="440" t="s">
        <v>658</v>
      </c>
      <c r="B617" s="422"/>
      <c r="C617" s="423">
        <v>-3.7463160801856805E-3</v>
      </c>
      <c r="D617" s="424">
        <v>-2.6377550576513458E-2</v>
      </c>
      <c r="E617" s="424">
        <v>-1.6656148676709316E-2</v>
      </c>
      <c r="F617" s="424">
        <v>-6.6483794312498677E-3</v>
      </c>
      <c r="G617" s="424">
        <v>0</v>
      </c>
      <c r="H617" s="424">
        <v>0</v>
      </c>
      <c r="I617" s="424">
        <v>0</v>
      </c>
      <c r="J617" s="426">
        <v>-9.688093313981079E-3</v>
      </c>
      <c r="K617" s="426">
        <v>0</v>
      </c>
      <c r="L617" s="424">
        <v>0</v>
      </c>
      <c r="M617" s="424">
        <v>0</v>
      </c>
      <c r="N617" s="424">
        <v>0</v>
      </c>
      <c r="O617" s="426">
        <v>0</v>
      </c>
      <c r="P617" s="426">
        <v>0</v>
      </c>
      <c r="Q617" s="424">
        <v>0</v>
      </c>
      <c r="R617" s="426">
        <v>0</v>
      </c>
      <c r="S617" s="426">
        <v>0</v>
      </c>
      <c r="T617" s="426">
        <v>0</v>
      </c>
      <c r="U617" s="426">
        <v>-9.6881660077529144E-3</v>
      </c>
      <c r="V617" s="421"/>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AG669"/>
  <sheetViews>
    <sheetView topLeftCell="A2" zoomScale="90" zoomScaleNormal="90" zoomScalePageLayoutView="90" workbookViewId="0">
      <pane xSplit="5" ySplit="5" topLeftCell="F7" activePane="bottomRight" state="frozenSplit"/>
      <selection activeCell="A2" sqref="A2 A2"/>
      <selection pane="topRight" activeCell="A2" sqref="A2"/>
      <selection pane="bottomLeft" activeCell="A2" sqref="A2"/>
      <selection pane="bottomRight" activeCell="G7" sqref="G7:G9"/>
    </sheetView>
  </sheetViews>
  <sheetFormatPr defaultColWidth="8.84375" defaultRowHeight="13"/>
  <cols>
    <col min="1" max="1" width="6.4609375" style="57" customWidth="1"/>
    <col min="2" max="2" width="32.07421875" style="58" customWidth="1"/>
    <col min="3" max="3" width="35.07421875" style="58" customWidth="1"/>
    <col min="4" max="4" width="10.23046875" style="57" customWidth="1"/>
    <col min="5" max="5" width="6.765625" style="57" customWidth="1"/>
    <col min="6" max="6" width="11.84375" style="28" customWidth="1"/>
    <col min="7" max="7" width="11.84375" style="59" customWidth="1"/>
    <col min="8" max="8" width="11.3046875" style="28" customWidth="1"/>
    <col min="9" max="9" width="11.3046875" style="59" customWidth="1"/>
    <col min="10" max="11" width="10.765625" style="28" customWidth="1"/>
    <col min="12" max="12" width="10.4609375" style="28" customWidth="1"/>
    <col min="13" max="13" width="13.4609375" style="60" customWidth="1"/>
    <col min="14" max="14" width="10.4609375" style="60" customWidth="1"/>
    <col min="15" max="15" width="9.84375" style="60" customWidth="1"/>
    <col min="16" max="16" width="11.4609375" style="28" customWidth="1"/>
    <col min="17" max="17" width="12.23046875" style="59" customWidth="1"/>
    <col min="18" max="18" width="9.4609375" style="28" customWidth="1"/>
    <col min="19" max="19" width="9.4609375" style="59" customWidth="1"/>
    <col min="20" max="20" width="10.84375" style="28" customWidth="1"/>
    <col min="21" max="21" width="10.84375" style="59" customWidth="1"/>
    <col min="22" max="22" width="10.4609375" style="28" customWidth="1"/>
    <col min="23" max="23" width="10.4609375" style="59" customWidth="1"/>
    <col min="24" max="25" width="10.3046875" style="28" customWidth="1"/>
    <col min="26" max="26" width="8.765625" style="28" customWidth="1"/>
    <col min="27" max="27" width="11.4609375" style="60" customWidth="1"/>
    <col min="28" max="28" width="12.4609375" style="60" customWidth="1"/>
    <col min="29" max="29" width="10.23046875" style="60" customWidth="1"/>
    <col min="30" max="30" width="11.765625" style="28" customWidth="1"/>
    <col min="31" max="31" width="12.3046875" style="59" customWidth="1"/>
    <col min="32" max="33" width="8.765625" style="28" customWidth="1"/>
    <col min="34" max="34" width="8.84375" style="28" customWidth="1"/>
    <col min="35" max="16384" width="8.84375" style="28"/>
  </cols>
  <sheetData>
    <row r="1" spans="1:33" hidden="1">
      <c r="A1" s="31"/>
      <c r="B1" s="32"/>
      <c r="C1" s="32"/>
      <c r="D1" s="33"/>
      <c r="E1" s="31"/>
      <c r="F1" s="34">
        <f>SUM(H1,J1,L1,M1,N1,R1)</f>
        <v>0</v>
      </c>
      <c r="G1" s="35">
        <f>SUM(I1,K1,O1,P1,Q1,S1)</f>
        <v>0</v>
      </c>
      <c r="H1" s="33"/>
      <c r="I1" s="33"/>
      <c r="J1" s="33"/>
      <c r="K1" s="33"/>
      <c r="L1" s="33"/>
      <c r="M1" s="33"/>
      <c r="N1" s="33"/>
      <c r="O1" s="33"/>
      <c r="P1" s="33"/>
      <c r="Q1" s="33"/>
      <c r="R1" s="33"/>
      <c r="S1" s="33"/>
      <c r="T1" s="36">
        <f>SUM(V1,X1,Z1,AA1,AB1,AF1)</f>
        <v>0</v>
      </c>
      <c r="U1" s="379">
        <f>SUM(W1,Y1,AC1,AD1,AE1,AG1)</f>
        <v>0</v>
      </c>
      <c r="V1" s="33"/>
      <c r="W1" s="33"/>
      <c r="X1" s="33"/>
      <c r="Y1" s="33"/>
      <c r="Z1" s="33"/>
      <c r="AA1" s="33"/>
      <c r="AB1" s="33"/>
      <c r="AC1" s="33"/>
      <c r="AD1" s="33"/>
      <c r="AE1" s="33"/>
      <c r="AF1" s="33"/>
      <c r="AG1" s="33"/>
    </row>
    <row r="2" spans="1:33" s="27" customFormat="1" ht="18" customHeight="1" thickBot="1">
      <c r="A2" s="29" t="s">
        <v>0</v>
      </c>
      <c r="B2" s="29"/>
      <c r="C2" s="29"/>
      <c r="D2" s="29"/>
      <c r="E2" s="29"/>
      <c r="F2" s="23" t="s">
        <v>1</v>
      </c>
      <c r="G2" s="24"/>
      <c r="H2" s="24"/>
      <c r="I2" s="24"/>
      <c r="J2" s="24"/>
      <c r="K2" s="24"/>
      <c r="L2" s="24"/>
      <c r="M2" s="24"/>
      <c r="N2" s="25"/>
      <c r="O2" s="24"/>
      <c r="P2" s="24"/>
      <c r="Q2" s="24"/>
      <c r="R2" s="24"/>
      <c r="S2" s="24"/>
      <c r="T2" s="23" t="s">
        <v>2</v>
      </c>
      <c r="U2" s="24"/>
      <c r="V2" s="24"/>
      <c r="W2" s="24"/>
      <c r="X2" s="24"/>
      <c r="Y2" s="24"/>
      <c r="Z2" s="24"/>
      <c r="AA2" s="24"/>
      <c r="AB2" s="25"/>
      <c r="AC2" s="24"/>
      <c r="AD2" s="24"/>
      <c r="AE2" s="24"/>
      <c r="AF2" s="30"/>
      <c r="AG2" s="24"/>
    </row>
    <row r="3" spans="1:33" s="27" customFormat="1" ht="12.75" customHeight="1" thickTop="1">
      <c r="A3" s="37" t="s">
        <v>746</v>
      </c>
      <c r="B3" s="38"/>
      <c r="C3" s="38"/>
      <c r="D3" s="38"/>
      <c r="E3" s="38"/>
      <c r="F3" s="39" t="s">
        <v>3</v>
      </c>
      <c r="G3" s="40"/>
      <c r="H3" s="22"/>
      <c r="I3" s="21"/>
      <c r="J3" s="22"/>
      <c r="K3" s="21"/>
      <c r="L3" s="380" t="s">
        <v>4</v>
      </c>
      <c r="M3" s="381"/>
      <c r="N3" s="26"/>
      <c r="O3" s="19"/>
      <c r="P3" s="18"/>
      <c r="Q3" s="18"/>
      <c r="R3" s="20"/>
      <c r="S3" s="21"/>
      <c r="T3" s="39" t="s">
        <v>3</v>
      </c>
      <c r="U3" s="40"/>
      <c r="V3" s="22"/>
      <c r="W3" s="21"/>
      <c r="X3" s="22"/>
      <c r="Y3" s="21"/>
      <c r="Z3" s="380" t="s">
        <v>4</v>
      </c>
      <c r="AA3" s="381"/>
      <c r="AB3" s="26"/>
      <c r="AC3" s="19"/>
      <c r="AD3" s="18"/>
      <c r="AE3" s="18"/>
      <c r="AF3" s="20"/>
      <c r="AG3" s="21"/>
    </row>
    <row r="4" spans="1:33" s="27" customFormat="1" ht="118.9" customHeight="1">
      <c r="A4" s="41" t="s">
        <v>5</v>
      </c>
      <c r="B4" s="42"/>
      <c r="C4" s="42"/>
      <c r="D4" s="42"/>
      <c r="E4" s="42"/>
      <c r="F4" s="382" t="s">
        <v>747</v>
      </c>
      <c r="G4" s="17"/>
      <c r="H4" s="504" t="s">
        <v>6</v>
      </c>
      <c r="I4" s="505"/>
      <c r="J4" s="380" t="s">
        <v>7</v>
      </c>
      <c r="K4" s="16"/>
      <c r="L4" s="15" t="s">
        <v>8</v>
      </c>
      <c r="M4" s="15" t="s">
        <v>9</v>
      </c>
      <c r="N4" s="383" t="s">
        <v>10</v>
      </c>
      <c r="O4" s="16" t="s">
        <v>8</v>
      </c>
      <c r="P4" s="16" t="s">
        <v>11</v>
      </c>
      <c r="Q4" s="16" t="s">
        <v>12</v>
      </c>
      <c r="R4" s="384" t="s">
        <v>13</v>
      </c>
      <c r="S4" s="16"/>
      <c r="T4" s="382" t="s">
        <v>748</v>
      </c>
      <c r="U4" s="17"/>
      <c r="V4" s="380" t="s">
        <v>6</v>
      </c>
      <c r="W4" s="16"/>
      <c r="X4" s="380" t="s">
        <v>7</v>
      </c>
      <c r="Y4" s="16"/>
      <c r="Z4" s="15" t="s">
        <v>8</v>
      </c>
      <c r="AA4" s="15" t="s">
        <v>9</v>
      </c>
      <c r="AB4" s="383" t="s">
        <v>10</v>
      </c>
      <c r="AC4" s="16" t="s">
        <v>8</v>
      </c>
      <c r="AD4" s="16" t="s">
        <v>11</v>
      </c>
      <c r="AE4" s="16" t="s">
        <v>12</v>
      </c>
      <c r="AF4" s="384" t="s">
        <v>13</v>
      </c>
      <c r="AG4" s="16"/>
    </row>
    <row r="5" spans="1:33" s="61" customFormat="1" ht="38.25" customHeight="1" thickBot="1">
      <c r="A5" s="43" t="s">
        <v>14</v>
      </c>
      <c r="B5" s="44" t="s">
        <v>15</v>
      </c>
      <c r="C5" s="45" t="s">
        <v>16</v>
      </c>
      <c r="D5" s="46" t="s">
        <v>17</v>
      </c>
      <c r="E5" s="441" t="s">
        <v>18</v>
      </c>
      <c r="F5" s="442">
        <v>2018</v>
      </c>
      <c r="G5" s="385">
        <v>2019</v>
      </c>
      <c r="H5" s="443">
        <v>2018</v>
      </c>
      <c r="I5" s="444">
        <v>2019</v>
      </c>
      <c r="J5" s="443">
        <v>2018</v>
      </c>
      <c r="K5" s="386">
        <v>2019</v>
      </c>
      <c r="L5" s="445">
        <v>2018</v>
      </c>
      <c r="M5" s="443">
        <v>2018</v>
      </c>
      <c r="N5" s="443">
        <v>2018</v>
      </c>
      <c r="O5" s="444">
        <v>2019</v>
      </c>
      <c r="P5" s="444">
        <v>2019</v>
      </c>
      <c r="Q5" s="386">
        <v>2019</v>
      </c>
      <c r="R5" s="445">
        <v>2018</v>
      </c>
      <c r="S5" s="386">
        <v>2019</v>
      </c>
      <c r="T5" s="442">
        <v>2018</v>
      </c>
      <c r="U5" s="385">
        <v>2019</v>
      </c>
      <c r="V5" s="443">
        <v>2018</v>
      </c>
      <c r="W5" s="444">
        <v>2019</v>
      </c>
      <c r="X5" s="443">
        <v>2018</v>
      </c>
      <c r="Y5" s="386">
        <v>2019</v>
      </c>
      <c r="Z5" s="445">
        <v>2018</v>
      </c>
      <c r="AA5" s="443">
        <v>2018</v>
      </c>
      <c r="AB5" s="443">
        <v>2018</v>
      </c>
      <c r="AC5" s="444">
        <v>2019</v>
      </c>
      <c r="AD5" s="444">
        <v>2019</v>
      </c>
      <c r="AE5" s="386">
        <v>2019</v>
      </c>
      <c r="AF5" s="445">
        <v>2018</v>
      </c>
      <c r="AG5" s="446">
        <v>2019</v>
      </c>
    </row>
    <row r="6" spans="1:33" s="27" customFormat="1" ht="40.5" customHeight="1" thickTop="1">
      <c r="A6" s="47" t="s">
        <v>14</v>
      </c>
      <c r="B6" s="48" t="s">
        <v>15</v>
      </c>
      <c r="C6" s="48" t="s">
        <v>19</v>
      </c>
      <c r="D6" s="47" t="s">
        <v>20</v>
      </c>
      <c r="E6" s="47" t="s">
        <v>21</v>
      </c>
      <c r="F6" s="49" t="s">
        <v>22</v>
      </c>
      <c r="G6" s="49" t="s">
        <v>23</v>
      </c>
      <c r="H6" s="49" t="s">
        <v>24</v>
      </c>
      <c r="I6" s="49" t="s">
        <v>25</v>
      </c>
      <c r="J6" s="49" t="s">
        <v>26</v>
      </c>
      <c r="K6" s="49" t="s">
        <v>27</v>
      </c>
      <c r="L6" s="49" t="s">
        <v>28</v>
      </c>
      <c r="M6" s="49" t="s">
        <v>29</v>
      </c>
      <c r="N6" s="49" t="s">
        <v>30</v>
      </c>
      <c r="O6" s="49" t="s">
        <v>31</v>
      </c>
      <c r="P6" s="49" t="s">
        <v>32</v>
      </c>
      <c r="Q6" s="49" t="s">
        <v>33</v>
      </c>
      <c r="R6" s="49" t="s">
        <v>34</v>
      </c>
      <c r="S6" s="49" t="s">
        <v>35</v>
      </c>
      <c r="T6" s="49" t="s">
        <v>36</v>
      </c>
      <c r="U6" s="49" t="s">
        <v>37</v>
      </c>
      <c r="V6" s="49" t="s">
        <v>38</v>
      </c>
      <c r="W6" s="49" t="s">
        <v>39</v>
      </c>
      <c r="X6" s="49" t="s">
        <v>40</v>
      </c>
      <c r="Y6" s="49" t="s">
        <v>41</v>
      </c>
      <c r="Z6" s="49" t="s">
        <v>42</v>
      </c>
      <c r="AA6" s="49" t="s">
        <v>43</v>
      </c>
      <c r="AB6" s="49" t="s">
        <v>44</v>
      </c>
      <c r="AC6" s="49" t="s">
        <v>45</v>
      </c>
      <c r="AD6" s="49" t="s">
        <v>46</v>
      </c>
      <c r="AE6" s="49" t="s">
        <v>47</v>
      </c>
      <c r="AF6" s="49" t="s">
        <v>48</v>
      </c>
      <c r="AG6" s="387" t="s">
        <v>49</v>
      </c>
    </row>
    <row r="7" spans="1:33" s="27" customFormat="1" ht="13.9" customHeight="1">
      <c r="A7" s="90" t="s">
        <v>50</v>
      </c>
      <c r="B7" s="87" t="s">
        <v>51</v>
      </c>
      <c r="C7" s="14"/>
      <c r="D7" s="51">
        <v>100858</v>
      </c>
      <c r="E7" s="55">
        <v>1</v>
      </c>
      <c r="F7" s="447">
        <f t="shared" ref="F7:F70" si="0">SUM(H7,J7,L7,M7,N7,R7)</f>
        <v>725986</v>
      </c>
      <c r="G7" s="448">
        <f t="shared" ref="G7:G70" si="1">SUM(I7,K7,O7,P7,Q7,S7)</f>
        <v>733944</v>
      </c>
      <c r="H7" s="449">
        <v>670923</v>
      </c>
      <c r="I7" s="450">
        <v>666491</v>
      </c>
      <c r="J7" s="449"/>
      <c r="K7" s="450"/>
      <c r="L7" s="449">
        <v>55063</v>
      </c>
      <c r="M7" s="449"/>
      <c r="N7" s="449"/>
      <c r="O7" s="450">
        <v>67453</v>
      </c>
      <c r="P7" s="450"/>
      <c r="Q7" s="450"/>
      <c r="R7" s="449"/>
      <c r="S7" s="450"/>
      <c r="T7" s="447">
        <f t="shared" ref="T7:T70" si="2">SUM(V7,X7,Z7,AA7,AB7,AF7)</f>
        <v>109015</v>
      </c>
      <c r="U7" s="448">
        <f t="shared" ref="U7:U70" si="3">SUM(W7,Y7,AC7,AD7,AE7,AG7)</f>
        <v>109527</v>
      </c>
      <c r="V7" s="449">
        <v>83193</v>
      </c>
      <c r="W7" s="450">
        <v>84611</v>
      </c>
      <c r="X7" s="449">
        <v>2806</v>
      </c>
      <c r="Y7" s="450">
        <v>2883</v>
      </c>
      <c r="Z7" s="449">
        <v>23016</v>
      </c>
      <c r="AA7" s="449"/>
      <c r="AB7" s="449"/>
      <c r="AC7" s="450">
        <v>22033</v>
      </c>
      <c r="AD7" s="450"/>
      <c r="AE7" s="450"/>
      <c r="AF7" s="449"/>
      <c r="AG7" s="450"/>
    </row>
    <row r="8" spans="1:33">
      <c r="A8" s="90" t="s">
        <v>50</v>
      </c>
      <c r="B8" s="87" t="s">
        <v>52</v>
      </c>
      <c r="C8" s="14"/>
      <c r="D8" s="51">
        <v>100751</v>
      </c>
      <c r="E8" s="55">
        <v>1</v>
      </c>
      <c r="F8" s="447">
        <f t="shared" si="0"/>
        <v>934991</v>
      </c>
      <c r="G8" s="448">
        <f t="shared" si="1"/>
        <v>920491</v>
      </c>
      <c r="H8" s="449">
        <v>832125</v>
      </c>
      <c r="I8" s="450">
        <v>778527</v>
      </c>
      <c r="J8" s="449">
        <v>12267</v>
      </c>
      <c r="K8" s="450">
        <v>23251</v>
      </c>
      <c r="L8" s="449">
        <v>89392</v>
      </c>
      <c r="M8" s="449">
        <v>1207</v>
      </c>
      <c r="N8" s="449"/>
      <c r="O8" s="450">
        <v>117238</v>
      </c>
      <c r="P8" s="450">
        <v>1475</v>
      </c>
      <c r="Q8" s="450"/>
      <c r="R8" s="449"/>
      <c r="S8" s="450"/>
      <c r="T8" s="447">
        <f t="shared" si="2"/>
        <v>99520</v>
      </c>
      <c r="U8" s="448">
        <f t="shared" si="3"/>
        <v>99694</v>
      </c>
      <c r="V8" s="449">
        <v>73005</v>
      </c>
      <c r="W8" s="450">
        <v>66672</v>
      </c>
      <c r="X8" s="449">
        <v>4596</v>
      </c>
      <c r="Y8" s="450">
        <v>10499</v>
      </c>
      <c r="Z8" s="449">
        <v>21601</v>
      </c>
      <c r="AA8" s="449">
        <v>318</v>
      </c>
      <c r="AB8" s="449"/>
      <c r="AC8" s="450">
        <v>22106</v>
      </c>
      <c r="AD8" s="450">
        <v>417</v>
      </c>
      <c r="AE8" s="450"/>
      <c r="AF8" s="449"/>
      <c r="AG8" s="450"/>
    </row>
    <row r="9" spans="1:33">
      <c r="A9" s="90" t="s">
        <v>50</v>
      </c>
      <c r="B9" s="87" t="s">
        <v>53</v>
      </c>
      <c r="C9" s="53"/>
      <c r="D9" s="51">
        <v>100663</v>
      </c>
      <c r="E9" s="55">
        <v>1</v>
      </c>
      <c r="F9" s="447">
        <f t="shared" si="0"/>
        <v>315909</v>
      </c>
      <c r="G9" s="448">
        <f t="shared" si="1"/>
        <v>319006</v>
      </c>
      <c r="H9" s="449">
        <v>215981</v>
      </c>
      <c r="I9" s="450">
        <v>212012</v>
      </c>
      <c r="J9" s="449">
        <v>51</v>
      </c>
      <c r="K9" s="450">
        <v>48</v>
      </c>
      <c r="L9" s="449">
        <v>99835</v>
      </c>
      <c r="M9" s="449">
        <v>42</v>
      </c>
      <c r="N9" s="449"/>
      <c r="O9" s="450">
        <v>106946</v>
      </c>
      <c r="P9" s="450"/>
      <c r="Q9" s="450"/>
      <c r="R9" s="449"/>
      <c r="S9" s="450"/>
      <c r="T9" s="447">
        <f t="shared" si="2"/>
        <v>55209</v>
      </c>
      <c r="U9" s="448">
        <f t="shared" si="3"/>
        <v>56545</v>
      </c>
      <c r="V9" s="449">
        <v>31524</v>
      </c>
      <c r="W9" s="450">
        <v>31631</v>
      </c>
      <c r="X9" s="449">
        <v>54</v>
      </c>
      <c r="Y9" s="450"/>
      <c r="Z9" s="449">
        <v>23535</v>
      </c>
      <c r="AA9" s="449">
        <v>96</v>
      </c>
      <c r="AB9" s="449"/>
      <c r="AC9" s="450">
        <v>24866</v>
      </c>
      <c r="AD9" s="450">
        <v>48</v>
      </c>
      <c r="AE9" s="450"/>
      <c r="AF9" s="449"/>
      <c r="AG9" s="450"/>
    </row>
    <row r="10" spans="1:33">
      <c r="A10" s="90" t="s">
        <v>50</v>
      </c>
      <c r="B10" s="87" t="s">
        <v>54</v>
      </c>
      <c r="C10" s="52" t="s">
        <v>782</v>
      </c>
      <c r="D10" s="51">
        <v>100706</v>
      </c>
      <c r="E10" s="55">
        <v>2</v>
      </c>
      <c r="F10" s="447">
        <f t="shared" si="0"/>
        <v>202213</v>
      </c>
      <c r="G10" s="448">
        <f t="shared" si="1"/>
        <v>216491</v>
      </c>
      <c r="H10" s="449">
        <v>185753</v>
      </c>
      <c r="I10" s="450">
        <v>190806</v>
      </c>
      <c r="J10" s="449"/>
      <c r="K10" s="450"/>
      <c r="L10" s="449">
        <v>16460</v>
      </c>
      <c r="M10" s="449"/>
      <c r="N10" s="449"/>
      <c r="O10" s="450">
        <v>25685</v>
      </c>
      <c r="P10" s="450"/>
      <c r="Q10" s="450"/>
      <c r="R10" s="449"/>
      <c r="S10" s="450"/>
      <c r="T10" s="447">
        <f t="shared" si="2"/>
        <v>31627</v>
      </c>
      <c r="U10" s="448">
        <f t="shared" si="3"/>
        <v>31260</v>
      </c>
      <c r="V10" s="449">
        <v>21545</v>
      </c>
      <c r="W10" s="450">
        <v>20522</v>
      </c>
      <c r="X10" s="449"/>
      <c r="Y10" s="450"/>
      <c r="Z10" s="449">
        <v>10082</v>
      </c>
      <c r="AA10" s="449"/>
      <c r="AB10" s="449"/>
      <c r="AC10" s="450">
        <v>10738</v>
      </c>
      <c r="AD10" s="450"/>
      <c r="AE10" s="450"/>
      <c r="AF10" s="449"/>
      <c r="AG10" s="450"/>
    </row>
    <row r="11" spans="1:33">
      <c r="A11" s="90" t="s">
        <v>50</v>
      </c>
      <c r="B11" s="87" t="s">
        <v>58</v>
      </c>
      <c r="C11" s="125"/>
      <c r="D11" s="51">
        <v>102094</v>
      </c>
      <c r="E11" s="55">
        <v>2</v>
      </c>
      <c r="F11" s="447">
        <f t="shared" si="0"/>
        <v>264746</v>
      </c>
      <c r="G11" s="448">
        <f t="shared" si="1"/>
        <v>248309</v>
      </c>
      <c r="H11" s="449">
        <v>222892</v>
      </c>
      <c r="I11" s="450">
        <v>205654</v>
      </c>
      <c r="J11" s="449">
        <v>398</v>
      </c>
      <c r="K11" s="450">
        <v>434</v>
      </c>
      <c r="L11" s="449">
        <v>41456</v>
      </c>
      <c r="M11" s="449"/>
      <c r="N11" s="449"/>
      <c r="O11" s="450">
        <v>42221</v>
      </c>
      <c r="P11" s="450"/>
      <c r="Q11" s="450"/>
      <c r="R11" s="449"/>
      <c r="S11" s="450"/>
      <c r="T11" s="447">
        <f t="shared" si="2"/>
        <v>16420</v>
      </c>
      <c r="U11" s="448">
        <f t="shared" si="3"/>
        <v>17354</v>
      </c>
      <c r="V11" s="449">
        <v>11718</v>
      </c>
      <c r="W11" s="450">
        <v>12177</v>
      </c>
      <c r="X11" s="449"/>
      <c r="Y11" s="450"/>
      <c r="Z11" s="449">
        <v>4702</v>
      </c>
      <c r="AA11" s="449"/>
      <c r="AB11" s="449"/>
      <c r="AC11" s="450">
        <v>5177</v>
      </c>
      <c r="AD11" s="450"/>
      <c r="AE11" s="450"/>
      <c r="AF11" s="449"/>
      <c r="AG11" s="450"/>
    </row>
    <row r="12" spans="1:33">
      <c r="A12" s="90" t="s">
        <v>50</v>
      </c>
      <c r="B12" s="87" t="s">
        <v>55</v>
      </c>
      <c r="C12" s="14"/>
      <c r="D12" s="51">
        <v>100654</v>
      </c>
      <c r="E12" s="55">
        <v>3</v>
      </c>
      <c r="F12" s="447">
        <f t="shared" si="0"/>
        <v>151518</v>
      </c>
      <c r="G12" s="448">
        <f t="shared" si="1"/>
        <v>164444</v>
      </c>
      <c r="H12" s="449">
        <v>141101</v>
      </c>
      <c r="I12" s="450">
        <v>149416</v>
      </c>
      <c r="J12" s="449">
        <v>327</v>
      </c>
      <c r="K12" s="450">
        <v>230</v>
      </c>
      <c r="L12" s="449">
        <v>10090</v>
      </c>
      <c r="M12" s="449"/>
      <c r="N12" s="449"/>
      <c r="O12" s="450">
        <v>14798</v>
      </c>
      <c r="P12" s="450"/>
      <c r="Q12" s="450"/>
      <c r="R12" s="449"/>
      <c r="S12" s="450"/>
      <c r="T12" s="447">
        <f t="shared" si="2"/>
        <v>18386</v>
      </c>
      <c r="U12" s="448">
        <f t="shared" si="3"/>
        <v>19389</v>
      </c>
      <c r="V12" s="449">
        <v>14379</v>
      </c>
      <c r="W12" s="450">
        <v>15646</v>
      </c>
      <c r="X12" s="449">
        <v>613</v>
      </c>
      <c r="Y12" s="450">
        <v>885</v>
      </c>
      <c r="Z12" s="449">
        <v>3394</v>
      </c>
      <c r="AA12" s="449"/>
      <c r="AB12" s="449"/>
      <c r="AC12" s="450">
        <v>2858</v>
      </c>
      <c r="AD12" s="450"/>
      <c r="AE12" s="450"/>
      <c r="AF12" s="449"/>
      <c r="AG12" s="450"/>
    </row>
    <row r="13" spans="1:33">
      <c r="A13" s="90" t="s">
        <v>50</v>
      </c>
      <c r="B13" s="87" t="s">
        <v>56</v>
      </c>
      <c r="C13" s="14"/>
      <c r="D13" s="51">
        <v>101480</v>
      </c>
      <c r="E13" s="55">
        <v>3</v>
      </c>
      <c r="F13" s="447">
        <f t="shared" si="0"/>
        <v>187929</v>
      </c>
      <c r="G13" s="448">
        <f t="shared" si="1"/>
        <v>198998</v>
      </c>
      <c r="H13" s="449">
        <v>123309</v>
      </c>
      <c r="I13" s="450">
        <v>135581</v>
      </c>
      <c r="J13" s="449">
        <v>2454</v>
      </c>
      <c r="K13" s="450">
        <v>2456</v>
      </c>
      <c r="L13" s="449">
        <v>61893</v>
      </c>
      <c r="M13" s="449">
        <v>273</v>
      </c>
      <c r="N13" s="449">
        <v>0</v>
      </c>
      <c r="O13" s="450">
        <v>60949</v>
      </c>
      <c r="P13" s="450">
        <v>12</v>
      </c>
      <c r="Q13" s="450"/>
      <c r="R13" s="449"/>
      <c r="S13" s="450"/>
      <c r="T13" s="447">
        <f t="shared" si="2"/>
        <v>18018</v>
      </c>
      <c r="U13" s="448">
        <f t="shared" si="3"/>
        <v>20208</v>
      </c>
      <c r="V13" s="449">
        <v>3572</v>
      </c>
      <c r="W13" s="450">
        <v>6709</v>
      </c>
      <c r="X13" s="449">
        <v>3</v>
      </c>
      <c r="Y13" s="450"/>
      <c r="Z13" s="449">
        <v>14431</v>
      </c>
      <c r="AA13" s="449">
        <v>12</v>
      </c>
      <c r="AB13" s="449"/>
      <c r="AC13" s="450">
        <v>13499</v>
      </c>
      <c r="AD13" s="450"/>
      <c r="AE13" s="450"/>
      <c r="AF13" s="449"/>
      <c r="AG13" s="450"/>
    </row>
    <row r="14" spans="1:33">
      <c r="A14" s="90" t="s">
        <v>50</v>
      </c>
      <c r="B14" s="87" t="s">
        <v>57</v>
      </c>
      <c r="C14" s="14"/>
      <c r="D14" s="51">
        <v>102368</v>
      </c>
      <c r="E14" s="55">
        <v>3</v>
      </c>
      <c r="F14" s="447">
        <f t="shared" si="0"/>
        <v>279461</v>
      </c>
      <c r="G14" s="448">
        <f t="shared" si="1"/>
        <v>288654</v>
      </c>
      <c r="H14" s="449">
        <v>200406</v>
      </c>
      <c r="I14" s="450">
        <v>186423</v>
      </c>
      <c r="J14" s="449">
        <v>0</v>
      </c>
      <c r="K14" s="450">
        <v>0</v>
      </c>
      <c r="L14" s="449">
        <v>69624</v>
      </c>
      <c r="M14" s="449">
        <v>0</v>
      </c>
      <c r="N14" s="449">
        <v>9431</v>
      </c>
      <c r="O14" s="450">
        <v>93437</v>
      </c>
      <c r="P14" s="450">
        <v>8794</v>
      </c>
      <c r="Q14" s="450"/>
      <c r="R14" s="449"/>
      <c r="S14" s="450"/>
      <c r="T14" s="447">
        <f t="shared" si="2"/>
        <v>32842</v>
      </c>
      <c r="U14" s="448">
        <f t="shared" si="3"/>
        <v>37811</v>
      </c>
      <c r="V14" s="449">
        <v>14965</v>
      </c>
      <c r="W14" s="450">
        <v>13317</v>
      </c>
      <c r="X14" s="449"/>
      <c r="Y14" s="450"/>
      <c r="Z14" s="449">
        <v>16467</v>
      </c>
      <c r="AA14" s="449"/>
      <c r="AB14" s="449">
        <v>1410</v>
      </c>
      <c r="AC14" s="450">
        <v>22784</v>
      </c>
      <c r="AD14" s="450"/>
      <c r="AE14" s="450">
        <v>1710</v>
      </c>
      <c r="AF14" s="449">
        <v>0</v>
      </c>
      <c r="AG14" s="450"/>
    </row>
    <row r="15" spans="1:33">
      <c r="A15" s="90" t="s">
        <v>50</v>
      </c>
      <c r="B15" s="87" t="s">
        <v>61</v>
      </c>
      <c r="C15" s="53"/>
      <c r="D15" s="51">
        <v>101879</v>
      </c>
      <c r="E15" s="55">
        <v>3</v>
      </c>
      <c r="F15" s="447">
        <f t="shared" si="0"/>
        <v>161333</v>
      </c>
      <c r="G15" s="448">
        <f t="shared" si="1"/>
        <v>162108</v>
      </c>
      <c r="H15" s="449">
        <v>121400</v>
      </c>
      <c r="I15" s="450">
        <v>114377</v>
      </c>
      <c r="J15" s="449"/>
      <c r="K15" s="450"/>
      <c r="L15" s="449">
        <v>39933</v>
      </c>
      <c r="M15" s="449"/>
      <c r="N15" s="449"/>
      <c r="O15" s="450">
        <v>47731</v>
      </c>
      <c r="P15" s="450"/>
      <c r="Q15" s="450"/>
      <c r="R15" s="449"/>
      <c r="S15" s="450"/>
      <c r="T15" s="447">
        <f t="shared" si="2"/>
        <v>19826</v>
      </c>
      <c r="U15" s="448">
        <f t="shared" si="3"/>
        <v>23044</v>
      </c>
      <c r="V15" s="449">
        <v>3941</v>
      </c>
      <c r="W15" s="450">
        <v>3699</v>
      </c>
      <c r="X15" s="449"/>
      <c r="Y15" s="450"/>
      <c r="Z15" s="449">
        <v>15885</v>
      </c>
      <c r="AA15" s="449"/>
      <c r="AB15" s="449"/>
      <c r="AC15" s="450">
        <v>19345</v>
      </c>
      <c r="AD15" s="450"/>
      <c r="AE15" s="450"/>
      <c r="AF15" s="449"/>
      <c r="AG15" s="450"/>
    </row>
    <row r="16" spans="1:33">
      <c r="A16" s="90" t="s">
        <v>50</v>
      </c>
      <c r="B16" s="87" t="s">
        <v>59</v>
      </c>
      <c r="C16" s="14"/>
      <c r="D16" s="51">
        <v>100724</v>
      </c>
      <c r="E16" s="55">
        <v>4</v>
      </c>
      <c r="F16" s="447">
        <f t="shared" si="0"/>
        <v>121235</v>
      </c>
      <c r="G16" s="448">
        <f t="shared" si="1"/>
        <v>112278</v>
      </c>
      <c r="H16" s="449">
        <v>102560</v>
      </c>
      <c r="I16" s="450">
        <v>93348</v>
      </c>
      <c r="J16" s="449">
        <v>0</v>
      </c>
      <c r="K16" s="450"/>
      <c r="L16" s="449">
        <v>18675</v>
      </c>
      <c r="M16" s="449"/>
      <c r="N16" s="449"/>
      <c r="O16" s="450">
        <v>18930</v>
      </c>
      <c r="P16" s="450"/>
      <c r="Q16" s="450"/>
      <c r="R16" s="449"/>
      <c r="S16" s="450"/>
      <c r="T16" s="447">
        <f t="shared" si="2"/>
        <v>13087</v>
      </c>
      <c r="U16" s="448">
        <f t="shared" si="3"/>
        <v>12035</v>
      </c>
      <c r="V16" s="449">
        <v>10787</v>
      </c>
      <c r="W16" s="450">
        <v>9993</v>
      </c>
      <c r="X16" s="449"/>
      <c r="Y16" s="450"/>
      <c r="Z16" s="449">
        <v>2300</v>
      </c>
      <c r="AA16" s="449"/>
      <c r="AB16" s="449"/>
      <c r="AC16" s="450">
        <v>2042</v>
      </c>
      <c r="AD16" s="450"/>
      <c r="AE16" s="450"/>
      <c r="AF16" s="449"/>
      <c r="AG16" s="450"/>
    </row>
    <row r="17" spans="1:33">
      <c r="A17" s="90" t="s">
        <v>50</v>
      </c>
      <c r="B17" s="87" t="s">
        <v>60</v>
      </c>
      <c r="C17" s="52" t="s">
        <v>782</v>
      </c>
      <c r="D17" s="51">
        <v>100830</v>
      </c>
      <c r="E17" s="55">
        <v>4</v>
      </c>
      <c r="F17" s="447">
        <f t="shared" si="0"/>
        <v>116195</v>
      </c>
      <c r="G17" s="448">
        <f t="shared" si="1"/>
        <v>117670</v>
      </c>
      <c r="H17" s="449">
        <v>87749</v>
      </c>
      <c r="I17" s="450">
        <v>88208</v>
      </c>
      <c r="J17" s="449">
        <v>444</v>
      </c>
      <c r="K17" s="450">
        <v>749</v>
      </c>
      <c r="L17" s="449">
        <v>28002</v>
      </c>
      <c r="M17" s="449"/>
      <c r="N17" s="449"/>
      <c r="O17" s="450">
        <v>28713</v>
      </c>
      <c r="P17" s="450"/>
      <c r="Q17" s="450"/>
      <c r="R17" s="449"/>
      <c r="S17" s="450"/>
      <c r="T17" s="447">
        <f t="shared" si="2"/>
        <v>9931</v>
      </c>
      <c r="U17" s="448">
        <f t="shared" si="3"/>
        <v>10996</v>
      </c>
      <c r="V17" s="449">
        <v>3656</v>
      </c>
      <c r="W17" s="450">
        <v>4928</v>
      </c>
      <c r="X17" s="449">
        <v>45</v>
      </c>
      <c r="Y17" s="450">
        <v>87</v>
      </c>
      <c r="Z17" s="449">
        <v>6230</v>
      </c>
      <c r="AA17" s="449"/>
      <c r="AB17" s="449"/>
      <c r="AC17" s="450">
        <v>5981</v>
      </c>
      <c r="AD17" s="450"/>
      <c r="AE17" s="450"/>
      <c r="AF17" s="449"/>
      <c r="AG17" s="450"/>
    </row>
    <row r="18" spans="1:33">
      <c r="A18" s="90" t="s">
        <v>50</v>
      </c>
      <c r="B18" s="87" t="s">
        <v>62</v>
      </c>
      <c r="C18" s="14"/>
      <c r="D18" s="51">
        <v>101709</v>
      </c>
      <c r="E18" s="55">
        <v>5</v>
      </c>
      <c r="F18" s="447">
        <f t="shared" si="0"/>
        <v>64266</v>
      </c>
      <c r="G18" s="448">
        <f t="shared" si="1"/>
        <v>61935</v>
      </c>
      <c r="H18" s="449">
        <v>59364</v>
      </c>
      <c r="I18" s="450">
        <v>55743</v>
      </c>
      <c r="J18" s="449">
        <v>0</v>
      </c>
      <c r="K18" s="450">
        <v>0</v>
      </c>
      <c r="L18" s="449">
        <v>4902</v>
      </c>
      <c r="M18" s="449"/>
      <c r="N18" s="449"/>
      <c r="O18" s="450">
        <v>6192</v>
      </c>
      <c r="P18" s="450"/>
      <c r="Q18" s="450"/>
      <c r="R18" s="449"/>
      <c r="S18" s="450"/>
      <c r="T18" s="447">
        <f t="shared" si="2"/>
        <v>6575</v>
      </c>
      <c r="U18" s="448">
        <f t="shared" si="3"/>
        <v>5966</v>
      </c>
      <c r="V18" s="449">
        <v>4886</v>
      </c>
      <c r="W18" s="450">
        <v>4119</v>
      </c>
      <c r="X18" s="449">
        <v>610</v>
      </c>
      <c r="Y18" s="450">
        <v>628</v>
      </c>
      <c r="Z18" s="449">
        <v>1079</v>
      </c>
      <c r="AA18" s="449"/>
      <c r="AB18" s="449"/>
      <c r="AC18" s="450">
        <v>1219</v>
      </c>
      <c r="AD18" s="450"/>
      <c r="AE18" s="450"/>
      <c r="AF18" s="449"/>
      <c r="AG18" s="450"/>
    </row>
    <row r="19" spans="1:33">
      <c r="A19" s="90" t="s">
        <v>50</v>
      </c>
      <c r="B19" s="87" t="s">
        <v>63</v>
      </c>
      <c r="C19" s="52" t="s">
        <v>783</v>
      </c>
      <c r="D19" s="51">
        <v>101587</v>
      </c>
      <c r="E19" s="55">
        <v>5</v>
      </c>
      <c r="F19" s="447">
        <f t="shared" si="0"/>
        <v>60646</v>
      </c>
      <c r="G19" s="448">
        <f t="shared" si="1"/>
        <v>63456</v>
      </c>
      <c r="H19" s="449">
        <v>46921</v>
      </c>
      <c r="I19" s="450">
        <v>41663</v>
      </c>
      <c r="J19" s="449">
        <v>370</v>
      </c>
      <c r="K19" s="450">
        <v>243</v>
      </c>
      <c r="L19" s="449">
        <v>13355</v>
      </c>
      <c r="M19" s="449"/>
      <c r="N19" s="449"/>
      <c r="O19" s="450">
        <v>21550</v>
      </c>
      <c r="P19" s="450"/>
      <c r="Q19" s="450"/>
      <c r="R19" s="449"/>
      <c r="S19" s="450"/>
      <c r="T19" s="447">
        <f t="shared" si="2"/>
        <v>54056</v>
      </c>
      <c r="U19" s="448">
        <f t="shared" si="3"/>
        <v>65170</v>
      </c>
      <c r="V19" s="449">
        <v>1026</v>
      </c>
      <c r="W19" s="450">
        <v>935</v>
      </c>
      <c r="X19" s="449"/>
      <c r="Y19" s="450"/>
      <c r="Z19" s="449">
        <v>53030</v>
      </c>
      <c r="AA19" s="449"/>
      <c r="AB19" s="449"/>
      <c r="AC19" s="450">
        <v>64235</v>
      </c>
      <c r="AD19" s="450"/>
      <c r="AE19" s="450"/>
      <c r="AF19" s="449"/>
      <c r="AG19" s="450"/>
    </row>
    <row r="20" spans="1:33">
      <c r="A20" s="90" t="s">
        <v>50</v>
      </c>
      <c r="B20" s="87" t="s">
        <v>64</v>
      </c>
      <c r="C20" s="52" t="s">
        <v>784</v>
      </c>
      <c r="D20" s="50" t="s">
        <v>65</v>
      </c>
      <c r="E20" s="55">
        <v>6</v>
      </c>
      <c r="F20" s="447">
        <f t="shared" si="0"/>
        <v>65486</v>
      </c>
      <c r="G20" s="448">
        <f t="shared" si="1"/>
        <v>64093</v>
      </c>
      <c r="H20" s="449">
        <v>10766</v>
      </c>
      <c r="I20" s="450">
        <v>9799</v>
      </c>
      <c r="J20" s="449">
        <v>1707</v>
      </c>
      <c r="K20" s="450">
        <v>1717</v>
      </c>
      <c r="L20" s="449">
        <v>53013</v>
      </c>
      <c r="M20" s="449"/>
      <c r="N20" s="449"/>
      <c r="O20" s="450">
        <v>52577</v>
      </c>
      <c r="P20" s="450"/>
      <c r="Q20" s="450"/>
      <c r="R20" s="449"/>
      <c r="S20" s="450"/>
      <c r="T20" s="447">
        <f t="shared" si="2"/>
        <v>2376</v>
      </c>
      <c r="U20" s="448">
        <f t="shared" si="3"/>
        <v>2415</v>
      </c>
      <c r="V20" s="449">
        <v>30</v>
      </c>
      <c r="W20" s="450">
        <v>15</v>
      </c>
      <c r="X20" s="449"/>
      <c r="Y20" s="450"/>
      <c r="Z20" s="449">
        <v>2346</v>
      </c>
      <c r="AA20" s="449"/>
      <c r="AB20" s="449"/>
      <c r="AC20" s="450">
        <v>2400</v>
      </c>
      <c r="AD20" s="450"/>
      <c r="AE20" s="450"/>
      <c r="AF20" s="449"/>
      <c r="AG20" s="450"/>
    </row>
    <row r="21" spans="1:33">
      <c r="A21" s="90" t="s">
        <v>50</v>
      </c>
      <c r="B21" s="91" t="s">
        <v>66</v>
      </c>
      <c r="C21" s="14"/>
      <c r="D21" s="51">
        <v>101505</v>
      </c>
      <c r="E21" s="55">
        <v>8</v>
      </c>
      <c r="F21" s="447">
        <f t="shared" si="0"/>
        <v>170953</v>
      </c>
      <c r="G21" s="448">
        <f t="shared" si="1"/>
        <v>166336</v>
      </c>
      <c r="H21" s="449">
        <v>84195</v>
      </c>
      <c r="I21" s="450">
        <v>94587</v>
      </c>
      <c r="J21" s="449">
        <v>25612</v>
      </c>
      <c r="K21" s="450">
        <v>12109</v>
      </c>
      <c r="L21" s="449">
        <v>59403</v>
      </c>
      <c r="M21" s="449">
        <v>1743</v>
      </c>
      <c r="N21" s="449"/>
      <c r="O21" s="450">
        <v>57920</v>
      </c>
      <c r="P21" s="450">
        <v>1094</v>
      </c>
      <c r="Q21" s="450">
        <v>626</v>
      </c>
      <c r="R21" s="449"/>
      <c r="S21" s="450"/>
      <c r="T21" s="447">
        <f t="shared" si="2"/>
        <v>0</v>
      </c>
      <c r="U21" s="448">
        <f t="shared" si="3"/>
        <v>0</v>
      </c>
      <c r="V21" s="449"/>
      <c r="W21" s="450"/>
      <c r="X21" s="449"/>
      <c r="Y21" s="450"/>
      <c r="Z21" s="449"/>
      <c r="AA21" s="449"/>
      <c r="AB21" s="449"/>
      <c r="AC21" s="450"/>
      <c r="AD21" s="450"/>
      <c r="AE21" s="450"/>
      <c r="AF21" s="449"/>
      <c r="AG21" s="450"/>
    </row>
    <row r="22" spans="1:33">
      <c r="A22" s="90" t="s">
        <v>50</v>
      </c>
      <c r="B22" s="91" t="s">
        <v>749</v>
      </c>
      <c r="C22" s="14"/>
      <c r="D22" s="51">
        <v>101514</v>
      </c>
      <c r="E22" s="55">
        <v>8</v>
      </c>
      <c r="F22" s="447">
        <f t="shared" si="0"/>
        <v>195805</v>
      </c>
      <c r="G22" s="448">
        <f t="shared" si="1"/>
        <v>194864</v>
      </c>
      <c r="H22" s="449">
        <v>125687</v>
      </c>
      <c r="I22" s="450">
        <v>124273</v>
      </c>
      <c r="J22" s="449">
        <v>0</v>
      </c>
      <c r="K22" s="450"/>
      <c r="L22" s="449">
        <v>70118</v>
      </c>
      <c r="M22" s="449"/>
      <c r="N22" s="449"/>
      <c r="O22" s="450">
        <v>70591</v>
      </c>
      <c r="P22" s="450"/>
      <c r="Q22" s="450"/>
      <c r="R22" s="449"/>
      <c r="S22" s="450"/>
      <c r="T22" s="447">
        <f t="shared" si="2"/>
        <v>0</v>
      </c>
      <c r="U22" s="448">
        <f t="shared" si="3"/>
        <v>0</v>
      </c>
      <c r="V22" s="449"/>
      <c r="W22" s="450"/>
      <c r="X22" s="449"/>
      <c r="Y22" s="450"/>
      <c r="Z22" s="449"/>
      <c r="AA22" s="449"/>
      <c r="AB22" s="449"/>
      <c r="AC22" s="450"/>
      <c r="AD22" s="450"/>
      <c r="AE22" s="450"/>
      <c r="AF22" s="449"/>
      <c r="AG22" s="450"/>
    </row>
    <row r="23" spans="1:33">
      <c r="A23" s="90" t="s">
        <v>50</v>
      </c>
      <c r="B23" s="87" t="s">
        <v>67</v>
      </c>
      <c r="C23" s="13"/>
      <c r="D23" s="51">
        <v>102429</v>
      </c>
      <c r="E23" s="55">
        <v>9</v>
      </c>
      <c r="F23" s="447">
        <f t="shared" si="0"/>
        <v>84082</v>
      </c>
      <c r="G23" s="448">
        <f t="shared" si="1"/>
        <v>80435</v>
      </c>
      <c r="H23" s="449">
        <v>57077</v>
      </c>
      <c r="I23" s="450">
        <v>49485</v>
      </c>
      <c r="J23" s="449">
        <v>5957</v>
      </c>
      <c r="K23" s="450">
        <v>5185</v>
      </c>
      <c r="L23" s="449">
        <v>17996</v>
      </c>
      <c r="M23" s="449">
        <v>3052</v>
      </c>
      <c r="N23" s="449"/>
      <c r="O23" s="450">
        <v>22659</v>
      </c>
      <c r="P23" s="450">
        <v>3106</v>
      </c>
      <c r="Q23" s="450"/>
      <c r="R23" s="449"/>
      <c r="S23" s="450"/>
      <c r="T23" s="447">
        <f t="shared" si="2"/>
        <v>0</v>
      </c>
      <c r="U23" s="448">
        <f t="shared" si="3"/>
        <v>0</v>
      </c>
      <c r="V23" s="449"/>
      <c r="W23" s="450"/>
      <c r="X23" s="449"/>
      <c r="Y23" s="450"/>
      <c r="Z23" s="449"/>
      <c r="AA23" s="449"/>
      <c r="AB23" s="449"/>
      <c r="AC23" s="450"/>
      <c r="AD23" s="450"/>
      <c r="AE23" s="450"/>
      <c r="AF23" s="449"/>
      <c r="AG23" s="450"/>
    </row>
    <row r="24" spans="1:33">
      <c r="A24" s="90" t="s">
        <v>50</v>
      </c>
      <c r="B24" s="54" t="s">
        <v>68</v>
      </c>
      <c r="C24" s="13"/>
      <c r="D24" s="51">
        <v>102030</v>
      </c>
      <c r="E24" s="55">
        <v>9</v>
      </c>
      <c r="F24" s="447">
        <f t="shared" si="0"/>
        <v>67163</v>
      </c>
      <c r="G24" s="448">
        <f t="shared" si="1"/>
        <v>65158</v>
      </c>
      <c r="H24" s="449">
        <v>58891</v>
      </c>
      <c r="I24" s="450">
        <v>51733</v>
      </c>
      <c r="J24" s="449">
        <v>177</v>
      </c>
      <c r="K24" s="450">
        <v>177</v>
      </c>
      <c r="L24" s="449">
        <v>4691</v>
      </c>
      <c r="M24" s="449"/>
      <c r="N24" s="449">
        <v>3404</v>
      </c>
      <c r="O24" s="450">
        <v>4938</v>
      </c>
      <c r="P24" s="450"/>
      <c r="Q24" s="450">
        <v>8310</v>
      </c>
      <c r="R24" s="449"/>
      <c r="S24" s="450"/>
      <c r="T24" s="447">
        <f t="shared" si="2"/>
        <v>0</v>
      </c>
      <c r="U24" s="448">
        <f t="shared" si="3"/>
        <v>0</v>
      </c>
      <c r="V24" s="449"/>
      <c r="W24" s="450"/>
      <c r="X24" s="449"/>
      <c r="Y24" s="450"/>
      <c r="Z24" s="449"/>
      <c r="AA24" s="449"/>
      <c r="AB24" s="449"/>
      <c r="AC24" s="450"/>
      <c r="AD24" s="450"/>
      <c r="AE24" s="450"/>
      <c r="AF24" s="449"/>
      <c r="AG24" s="450"/>
    </row>
    <row r="25" spans="1:33">
      <c r="A25" s="90" t="s">
        <v>50</v>
      </c>
      <c r="B25" s="87" t="s">
        <v>69</v>
      </c>
      <c r="C25" s="13"/>
      <c r="D25" s="51">
        <v>101240</v>
      </c>
      <c r="E25" s="55">
        <v>9</v>
      </c>
      <c r="F25" s="447">
        <f t="shared" si="0"/>
        <v>110220</v>
      </c>
      <c r="G25" s="448">
        <f t="shared" si="1"/>
        <v>109083</v>
      </c>
      <c r="H25" s="449">
        <v>78494</v>
      </c>
      <c r="I25" s="450">
        <v>75226</v>
      </c>
      <c r="J25" s="449">
        <v>0</v>
      </c>
      <c r="K25" s="450"/>
      <c r="L25" s="449">
        <v>31726</v>
      </c>
      <c r="M25" s="449"/>
      <c r="N25" s="449"/>
      <c r="O25" s="450">
        <v>33857</v>
      </c>
      <c r="P25" s="450"/>
      <c r="Q25" s="450"/>
      <c r="R25" s="449"/>
      <c r="S25" s="450"/>
      <c r="T25" s="447">
        <f t="shared" si="2"/>
        <v>0</v>
      </c>
      <c r="U25" s="448">
        <f t="shared" si="3"/>
        <v>0</v>
      </c>
      <c r="V25" s="449"/>
      <c r="W25" s="450"/>
      <c r="X25" s="449"/>
      <c r="Y25" s="450"/>
      <c r="Z25" s="449"/>
      <c r="AA25" s="449"/>
      <c r="AB25" s="449"/>
      <c r="AC25" s="450"/>
      <c r="AD25" s="450"/>
      <c r="AE25" s="450"/>
      <c r="AF25" s="449"/>
      <c r="AG25" s="450"/>
    </row>
    <row r="26" spans="1:33">
      <c r="A26" s="90" t="s">
        <v>50</v>
      </c>
      <c r="B26" s="91" t="s">
        <v>750</v>
      </c>
      <c r="C26" s="13"/>
      <c r="D26" s="51">
        <v>101286</v>
      </c>
      <c r="E26" s="55">
        <v>9</v>
      </c>
      <c r="F26" s="447">
        <f t="shared" si="0"/>
        <v>99907</v>
      </c>
      <c r="G26" s="448">
        <f t="shared" si="1"/>
        <v>96830</v>
      </c>
      <c r="H26" s="449">
        <v>65488</v>
      </c>
      <c r="I26" s="450">
        <v>64129</v>
      </c>
      <c r="J26" s="449">
        <v>7511</v>
      </c>
      <c r="K26" s="450">
        <v>6557</v>
      </c>
      <c r="L26" s="449">
        <v>26908</v>
      </c>
      <c r="M26" s="449"/>
      <c r="N26" s="449"/>
      <c r="O26" s="450">
        <v>26144</v>
      </c>
      <c r="P26" s="450"/>
      <c r="Q26" s="450"/>
      <c r="R26" s="449"/>
      <c r="S26" s="450"/>
      <c r="T26" s="447">
        <f t="shared" si="2"/>
        <v>0</v>
      </c>
      <c r="U26" s="448">
        <f t="shared" si="3"/>
        <v>0</v>
      </c>
      <c r="V26" s="449"/>
      <c r="W26" s="450"/>
      <c r="X26" s="449"/>
      <c r="Y26" s="450"/>
      <c r="Z26" s="449"/>
      <c r="AA26" s="449"/>
      <c r="AB26" s="449"/>
      <c r="AC26" s="450"/>
      <c r="AD26" s="450"/>
      <c r="AE26" s="450"/>
      <c r="AF26" s="449"/>
      <c r="AG26" s="450"/>
    </row>
    <row r="27" spans="1:33">
      <c r="A27" s="90" t="s">
        <v>50</v>
      </c>
      <c r="B27" s="91" t="s">
        <v>751</v>
      </c>
      <c r="C27" s="14"/>
      <c r="D27" s="51">
        <v>101295</v>
      </c>
      <c r="E27" s="55">
        <v>9</v>
      </c>
      <c r="F27" s="447">
        <f t="shared" si="0"/>
        <v>125344</v>
      </c>
      <c r="G27" s="448">
        <f t="shared" si="1"/>
        <v>124962</v>
      </c>
      <c r="H27" s="449">
        <v>90928</v>
      </c>
      <c r="I27" s="450">
        <v>88992</v>
      </c>
      <c r="J27" s="449">
        <v>0</v>
      </c>
      <c r="K27" s="450"/>
      <c r="L27" s="449">
        <v>34416</v>
      </c>
      <c r="M27" s="449"/>
      <c r="N27" s="449"/>
      <c r="O27" s="450">
        <v>35970</v>
      </c>
      <c r="P27" s="450"/>
      <c r="Q27" s="450"/>
      <c r="R27" s="449"/>
      <c r="S27" s="450"/>
      <c r="T27" s="447">
        <f t="shared" si="2"/>
        <v>0</v>
      </c>
      <c r="U27" s="448">
        <f t="shared" si="3"/>
        <v>0</v>
      </c>
      <c r="V27" s="449"/>
      <c r="W27" s="450"/>
      <c r="X27" s="449"/>
      <c r="Y27" s="450"/>
      <c r="Z27" s="449"/>
      <c r="AA27" s="449"/>
      <c r="AB27" s="449"/>
      <c r="AC27" s="450"/>
      <c r="AD27" s="450"/>
      <c r="AE27" s="450"/>
      <c r="AF27" s="449"/>
      <c r="AG27" s="450"/>
    </row>
    <row r="28" spans="1:33">
      <c r="A28" s="90" t="s">
        <v>50</v>
      </c>
      <c r="B28" s="88" t="s">
        <v>785</v>
      </c>
      <c r="C28" s="13" t="s">
        <v>786</v>
      </c>
      <c r="D28" s="51">
        <v>101161</v>
      </c>
      <c r="E28" s="55">
        <v>9</v>
      </c>
      <c r="F28" s="447">
        <f t="shared" si="0"/>
        <v>168682</v>
      </c>
      <c r="G28" s="448">
        <f t="shared" si="1"/>
        <v>168831</v>
      </c>
      <c r="H28" s="449">
        <v>60108</v>
      </c>
      <c r="I28" s="450">
        <v>56990</v>
      </c>
      <c r="J28" s="449">
        <v>52443</v>
      </c>
      <c r="K28" s="450">
        <v>52723</v>
      </c>
      <c r="L28" s="449">
        <v>56131</v>
      </c>
      <c r="M28" s="449"/>
      <c r="N28" s="449"/>
      <c r="O28" s="450">
        <v>58869</v>
      </c>
      <c r="P28" s="450">
        <v>249</v>
      </c>
      <c r="Q28" s="450"/>
      <c r="R28" s="449"/>
      <c r="S28" s="450"/>
      <c r="T28" s="447">
        <f t="shared" si="2"/>
        <v>0</v>
      </c>
      <c r="U28" s="448">
        <f t="shared" si="3"/>
        <v>0</v>
      </c>
      <c r="V28" s="449"/>
      <c r="W28" s="450"/>
      <c r="X28" s="449"/>
      <c r="Y28" s="450"/>
      <c r="Z28" s="449"/>
      <c r="AA28" s="449"/>
      <c r="AB28" s="449"/>
      <c r="AC28" s="450"/>
      <c r="AD28" s="450"/>
      <c r="AE28" s="450"/>
      <c r="AF28" s="449"/>
      <c r="AG28" s="450"/>
    </row>
    <row r="29" spans="1:33">
      <c r="A29" s="90" t="s">
        <v>50</v>
      </c>
      <c r="B29" s="87" t="s">
        <v>70</v>
      </c>
      <c r="C29" s="14"/>
      <c r="D29" s="51">
        <v>101569</v>
      </c>
      <c r="E29" s="55">
        <v>9</v>
      </c>
      <c r="F29" s="447">
        <f t="shared" si="0"/>
        <v>76197</v>
      </c>
      <c r="G29" s="448">
        <f t="shared" si="1"/>
        <v>76316</v>
      </c>
      <c r="H29" s="449">
        <v>65262</v>
      </c>
      <c r="I29" s="450">
        <v>63768</v>
      </c>
      <c r="J29" s="449">
        <v>2047</v>
      </c>
      <c r="K29" s="450">
        <v>1280</v>
      </c>
      <c r="L29" s="449">
        <v>8888</v>
      </c>
      <c r="M29" s="449"/>
      <c r="N29" s="449"/>
      <c r="O29" s="450">
        <v>11268</v>
      </c>
      <c r="P29" s="450"/>
      <c r="Q29" s="450"/>
      <c r="R29" s="449"/>
      <c r="S29" s="450"/>
      <c r="T29" s="447">
        <f t="shared" si="2"/>
        <v>0</v>
      </c>
      <c r="U29" s="448">
        <f t="shared" si="3"/>
        <v>0</v>
      </c>
      <c r="V29" s="449"/>
      <c r="W29" s="450"/>
      <c r="X29" s="449"/>
      <c r="Y29" s="450"/>
      <c r="Z29" s="449"/>
      <c r="AA29" s="449"/>
      <c r="AB29" s="449"/>
      <c r="AC29" s="450"/>
      <c r="AD29" s="450"/>
      <c r="AE29" s="450"/>
      <c r="AF29" s="449"/>
      <c r="AG29" s="450"/>
    </row>
    <row r="30" spans="1:33">
      <c r="A30" s="90" t="s">
        <v>50</v>
      </c>
      <c r="B30" s="87" t="s">
        <v>71</v>
      </c>
      <c r="C30" s="14"/>
      <c r="D30" s="51">
        <v>101736</v>
      </c>
      <c r="E30" s="55">
        <v>9</v>
      </c>
      <c r="F30" s="447">
        <f t="shared" si="0"/>
        <v>66705</v>
      </c>
      <c r="G30" s="448">
        <f t="shared" si="1"/>
        <v>66363</v>
      </c>
      <c r="H30" s="449">
        <v>50727</v>
      </c>
      <c r="I30" s="450">
        <v>50394</v>
      </c>
      <c r="J30" s="449">
        <v>33</v>
      </c>
      <c r="K30" s="450">
        <v>21</v>
      </c>
      <c r="L30" s="449">
        <v>15214</v>
      </c>
      <c r="M30" s="449">
        <v>731</v>
      </c>
      <c r="N30" s="449"/>
      <c r="O30" s="450">
        <v>15809</v>
      </c>
      <c r="P30" s="450">
        <v>139</v>
      </c>
      <c r="Q30" s="450"/>
      <c r="R30" s="449"/>
      <c r="S30" s="450"/>
      <c r="T30" s="447">
        <f t="shared" si="2"/>
        <v>0</v>
      </c>
      <c r="U30" s="448">
        <f t="shared" si="3"/>
        <v>0</v>
      </c>
      <c r="V30" s="449"/>
      <c r="W30" s="450"/>
      <c r="X30" s="449"/>
      <c r="Y30" s="450"/>
      <c r="Z30" s="449"/>
      <c r="AA30" s="449"/>
      <c r="AB30" s="449"/>
      <c r="AC30" s="450"/>
      <c r="AD30" s="450"/>
      <c r="AE30" s="450"/>
      <c r="AF30" s="449"/>
      <c r="AG30" s="450"/>
    </row>
    <row r="31" spans="1:33">
      <c r="A31" s="90" t="s">
        <v>50</v>
      </c>
      <c r="B31" s="87" t="s">
        <v>72</v>
      </c>
      <c r="C31" s="14"/>
      <c r="D31" s="51">
        <v>102067</v>
      </c>
      <c r="E31" s="55">
        <v>9</v>
      </c>
      <c r="F31" s="447">
        <f t="shared" si="0"/>
        <v>104563</v>
      </c>
      <c r="G31" s="448">
        <f t="shared" si="1"/>
        <v>102213</v>
      </c>
      <c r="H31" s="449">
        <v>81754</v>
      </c>
      <c r="I31" s="450">
        <v>75398</v>
      </c>
      <c r="J31" s="449">
        <v>0</v>
      </c>
      <c r="K31" s="450"/>
      <c r="L31" s="449">
        <v>22809</v>
      </c>
      <c r="M31" s="449"/>
      <c r="N31" s="449"/>
      <c r="O31" s="450">
        <v>26815</v>
      </c>
      <c r="P31" s="450"/>
      <c r="Q31" s="450"/>
      <c r="R31" s="449"/>
      <c r="S31" s="450"/>
      <c r="T31" s="447">
        <f t="shared" si="2"/>
        <v>0</v>
      </c>
      <c r="U31" s="448">
        <f t="shared" si="3"/>
        <v>0</v>
      </c>
      <c r="V31" s="449"/>
      <c r="W31" s="450"/>
      <c r="X31" s="449"/>
      <c r="Y31" s="450"/>
      <c r="Z31" s="449"/>
      <c r="AA31" s="449"/>
      <c r="AB31" s="449"/>
      <c r="AC31" s="450"/>
      <c r="AD31" s="450"/>
      <c r="AE31" s="450"/>
      <c r="AF31" s="449"/>
      <c r="AG31" s="450"/>
    </row>
    <row r="32" spans="1:33">
      <c r="A32" s="90" t="s">
        <v>50</v>
      </c>
      <c r="B32" s="87" t="s">
        <v>73</v>
      </c>
      <c r="C32" s="14"/>
      <c r="D32" s="51">
        <v>251260</v>
      </c>
      <c r="E32" s="55">
        <v>9</v>
      </c>
      <c r="F32" s="447">
        <f t="shared" si="0"/>
        <v>113983</v>
      </c>
      <c r="G32" s="448">
        <f t="shared" si="1"/>
        <v>112562</v>
      </c>
      <c r="H32" s="449">
        <v>13942</v>
      </c>
      <c r="I32" s="450">
        <v>12881</v>
      </c>
      <c r="J32" s="449">
        <v>77232</v>
      </c>
      <c r="K32" s="450">
        <v>75163</v>
      </c>
      <c r="L32" s="449">
        <v>22809</v>
      </c>
      <c r="M32" s="449"/>
      <c r="N32" s="449"/>
      <c r="O32" s="450">
        <v>24518</v>
      </c>
      <c r="P32" s="450"/>
      <c r="Q32" s="450"/>
      <c r="R32" s="449"/>
      <c r="S32" s="450"/>
      <c r="T32" s="447">
        <f t="shared" si="2"/>
        <v>0</v>
      </c>
      <c r="U32" s="448">
        <f t="shared" si="3"/>
        <v>0</v>
      </c>
      <c r="V32" s="449"/>
      <c r="W32" s="450"/>
      <c r="X32" s="449"/>
      <c r="Y32" s="450"/>
      <c r="Z32" s="449"/>
      <c r="AA32" s="449"/>
      <c r="AB32" s="449"/>
      <c r="AC32" s="450"/>
      <c r="AD32" s="450"/>
      <c r="AE32" s="450"/>
      <c r="AF32" s="449"/>
      <c r="AG32" s="450"/>
    </row>
    <row r="33" spans="1:33">
      <c r="A33" s="90" t="s">
        <v>50</v>
      </c>
      <c r="B33" s="87" t="s">
        <v>74</v>
      </c>
      <c r="C33" s="13"/>
      <c r="D33" s="51">
        <v>100760</v>
      </c>
      <c r="E33" s="55">
        <v>10</v>
      </c>
      <c r="F33" s="447">
        <f t="shared" si="0"/>
        <v>36381</v>
      </c>
      <c r="G33" s="448">
        <f t="shared" si="1"/>
        <v>34709</v>
      </c>
      <c r="H33" s="449">
        <v>24212</v>
      </c>
      <c r="I33" s="450">
        <v>23021</v>
      </c>
      <c r="J33" s="449">
        <v>0</v>
      </c>
      <c r="K33" s="450"/>
      <c r="L33" s="449">
        <v>12169</v>
      </c>
      <c r="M33" s="449"/>
      <c r="N33" s="449"/>
      <c r="O33" s="450">
        <v>11688</v>
      </c>
      <c r="P33" s="450"/>
      <c r="Q33" s="450"/>
      <c r="R33" s="449"/>
      <c r="S33" s="450"/>
      <c r="T33" s="447">
        <f t="shared" si="2"/>
        <v>0</v>
      </c>
      <c r="U33" s="448">
        <f t="shared" si="3"/>
        <v>0</v>
      </c>
      <c r="V33" s="449"/>
      <c r="W33" s="450"/>
      <c r="X33" s="449"/>
      <c r="Y33" s="450"/>
      <c r="Z33" s="449"/>
      <c r="AA33" s="449"/>
      <c r="AB33" s="449"/>
      <c r="AC33" s="450"/>
      <c r="AD33" s="450"/>
      <c r="AE33" s="450"/>
      <c r="AF33" s="449"/>
      <c r="AG33" s="450"/>
    </row>
    <row r="34" spans="1:33">
      <c r="A34" s="90" t="s">
        <v>50</v>
      </c>
      <c r="B34" s="91" t="s">
        <v>752</v>
      </c>
      <c r="C34" s="14"/>
      <c r="D34" s="51">
        <v>101028</v>
      </c>
      <c r="E34" s="55">
        <v>10</v>
      </c>
      <c r="F34" s="447">
        <f t="shared" si="0"/>
        <v>37941</v>
      </c>
      <c r="G34" s="448">
        <f t="shared" si="1"/>
        <v>39038</v>
      </c>
      <c r="H34" s="449">
        <v>32053</v>
      </c>
      <c r="I34" s="450">
        <v>32324</v>
      </c>
      <c r="J34" s="449">
        <v>213</v>
      </c>
      <c r="K34" s="450">
        <v>160</v>
      </c>
      <c r="L34" s="449">
        <v>5675</v>
      </c>
      <c r="M34" s="449"/>
      <c r="N34" s="449"/>
      <c r="O34" s="450">
        <v>6554</v>
      </c>
      <c r="P34" s="450"/>
      <c r="Q34" s="450"/>
      <c r="R34" s="449"/>
      <c r="S34" s="450"/>
      <c r="T34" s="447">
        <f t="shared" si="2"/>
        <v>0</v>
      </c>
      <c r="U34" s="448">
        <f t="shared" si="3"/>
        <v>0</v>
      </c>
      <c r="V34" s="449"/>
      <c r="W34" s="450"/>
      <c r="X34" s="449"/>
      <c r="Y34" s="450"/>
      <c r="Z34" s="449"/>
      <c r="AA34" s="449"/>
      <c r="AB34" s="449"/>
      <c r="AC34" s="450"/>
      <c r="AD34" s="450"/>
      <c r="AE34" s="450"/>
      <c r="AF34" s="449"/>
      <c r="AG34" s="450"/>
    </row>
    <row r="35" spans="1:33">
      <c r="A35" s="90" t="s">
        <v>50</v>
      </c>
      <c r="B35" s="451" t="s">
        <v>753</v>
      </c>
      <c r="C35" s="53"/>
      <c r="D35" s="51">
        <v>101143</v>
      </c>
      <c r="E35" s="55">
        <v>10</v>
      </c>
      <c r="F35" s="447">
        <f t="shared" si="0"/>
        <v>38860</v>
      </c>
      <c r="G35" s="448">
        <f t="shared" si="1"/>
        <v>41515</v>
      </c>
      <c r="H35" s="449">
        <v>28173</v>
      </c>
      <c r="I35" s="450">
        <v>30241</v>
      </c>
      <c r="J35" s="449">
        <v>0</v>
      </c>
      <c r="K35" s="450">
        <v>50</v>
      </c>
      <c r="L35" s="449">
        <v>10687</v>
      </c>
      <c r="M35" s="449"/>
      <c r="N35" s="449"/>
      <c r="O35" s="450">
        <v>11224</v>
      </c>
      <c r="P35" s="450"/>
      <c r="Q35" s="450"/>
      <c r="R35" s="449"/>
      <c r="S35" s="450"/>
      <c r="T35" s="447">
        <f t="shared" si="2"/>
        <v>0</v>
      </c>
      <c r="U35" s="448">
        <f t="shared" si="3"/>
        <v>0</v>
      </c>
      <c r="V35" s="449"/>
      <c r="W35" s="450"/>
      <c r="X35" s="449"/>
      <c r="Y35" s="450"/>
      <c r="Z35" s="449"/>
      <c r="AA35" s="449"/>
      <c r="AB35" s="449"/>
      <c r="AC35" s="450"/>
      <c r="AD35" s="450"/>
      <c r="AE35" s="450"/>
      <c r="AF35" s="449"/>
      <c r="AG35" s="450"/>
    </row>
    <row r="36" spans="1:33">
      <c r="A36" s="90" t="s">
        <v>50</v>
      </c>
      <c r="B36" s="87" t="s">
        <v>75</v>
      </c>
      <c r="C36" s="14"/>
      <c r="D36" s="51">
        <v>101301</v>
      </c>
      <c r="E36" s="55">
        <v>10</v>
      </c>
      <c r="F36" s="447">
        <f t="shared" si="0"/>
        <v>39404</v>
      </c>
      <c r="G36" s="448">
        <f t="shared" si="1"/>
        <v>36616</v>
      </c>
      <c r="H36" s="449">
        <v>24188</v>
      </c>
      <c r="I36" s="450">
        <v>23813</v>
      </c>
      <c r="J36" s="449">
        <v>0</v>
      </c>
      <c r="K36" s="450"/>
      <c r="L36" s="449">
        <v>15216</v>
      </c>
      <c r="M36" s="449"/>
      <c r="N36" s="449"/>
      <c r="O36" s="450">
        <v>12803</v>
      </c>
      <c r="P36" s="450"/>
      <c r="Q36" s="450"/>
      <c r="R36" s="449"/>
      <c r="S36" s="450"/>
      <c r="T36" s="447">
        <f t="shared" si="2"/>
        <v>0</v>
      </c>
      <c r="U36" s="448">
        <f t="shared" si="3"/>
        <v>0</v>
      </c>
      <c r="V36" s="449"/>
      <c r="W36" s="450"/>
      <c r="X36" s="449"/>
      <c r="Y36" s="450"/>
      <c r="Z36" s="449"/>
      <c r="AA36" s="449"/>
      <c r="AB36" s="449"/>
      <c r="AC36" s="450"/>
      <c r="AD36" s="450"/>
      <c r="AE36" s="450"/>
      <c r="AF36" s="449"/>
      <c r="AG36" s="450"/>
    </row>
    <row r="37" spans="1:33">
      <c r="A37" s="90" t="s">
        <v>50</v>
      </c>
      <c r="B37" s="87" t="s">
        <v>76</v>
      </c>
      <c r="C37" s="14"/>
      <c r="D37" s="51">
        <v>101602</v>
      </c>
      <c r="E37" s="55">
        <v>10</v>
      </c>
      <c r="F37" s="447">
        <f t="shared" si="0"/>
        <v>41406</v>
      </c>
      <c r="G37" s="448">
        <f t="shared" si="1"/>
        <v>38795</v>
      </c>
      <c r="H37" s="449">
        <v>27105</v>
      </c>
      <c r="I37" s="450">
        <v>23720</v>
      </c>
      <c r="J37" s="449">
        <v>1544</v>
      </c>
      <c r="K37" s="450">
        <v>1360</v>
      </c>
      <c r="L37" s="449">
        <v>12757</v>
      </c>
      <c r="M37" s="449"/>
      <c r="N37" s="449"/>
      <c r="O37" s="450">
        <v>13715</v>
      </c>
      <c r="P37" s="450"/>
      <c r="Q37" s="450"/>
      <c r="R37" s="449"/>
      <c r="S37" s="450"/>
      <c r="T37" s="447">
        <f t="shared" si="2"/>
        <v>0</v>
      </c>
      <c r="U37" s="448">
        <f t="shared" si="3"/>
        <v>0</v>
      </c>
      <c r="V37" s="449"/>
      <c r="W37" s="450"/>
      <c r="X37" s="449"/>
      <c r="Y37" s="450"/>
      <c r="Z37" s="449"/>
      <c r="AA37" s="449"/>
      <c r="AB37" s="449"/>
      <c r="AC37" s="450"/>
      <c r="AD37" s="450"/>
      <c r="AE37" s="450"/>
      <c r="AF37" s="449"/>
      <c r="AG37" s="450"/>
    </row>
    <row r="38" spans="1:33">
      <c r="A38" s="90" t="s">
        <v>50</v>
      </c>
      <c r="B38" s="388" t="s">
        <v>754</v>
      </c>
      <c r="C38" s="452" t="s">
        <v>787</v>
      </c>
      <c r="D38" s="51">
        <v>101897</v>
      </c>
      <c r="E38" s="55">
        <v>10</v>
      </c>
      <c r="F38" s="447">
        <f t="shared" si="0"/>
        <v>60811</v>
      </c>
      <c r="G38" s="448">
        <f t="shared" si="1"/>
        <v>61464</v>
      </c>
      <c r="H38" s="449">
        <v>35406</v>
      </c>
      <c r="I38" s="450">
        <v>32121</v>
      </c>
      <c r="J38" s="449">
        <v>4949</v>
      </c>
      <c r="K38" s="450">
        <v>5760</v>
      </c>
      <c r="L38" s="449">
        <v>20456</v>
      </c>
      <c r="M38" s="449"/>
      <c r="N38" s="449"/>
      <c r="O38" s="450">
        <v>23583</v>
      </c>
      <c r="P38" s="450"/>
      <c r="Q38" s="450"/>
      <c r="R38" s="449"/>
      <c r="S38" s="450"/>
      <c r="T38" s="447">
        <f t="shared" si="2"/>
        <v>0</v>
      </c>
      <c r="U38" s="448">
        <f t="shared" si="3"/>
        <v>0</v>
      </c>
      <c r="V38" s="449"/>
      <c r="W38" s="450"/>
      <c r="X38" s="449"/>
      <c r="Y38" s="450"/>
      <c r="Z38" s="449"/>
      <c r="AA38" s="449"/>
      <c r="AB38" s="449"/>
      <c r="AC38" s="450"/>
      <c r="AD38" s="450"/>
      <c r="AE38" s="450"/>
      <c r="AF38" s="449"/>
      <c r="AG38" s="450"/>
    </row>
    <row r="39" spans="1:33">
      <c r="A39" s="90" t="s">
        <v>50</v>
      </c>
      <c r="B39" s="87" t="s">
        <v>77</v>
      </c>
      <c r="C39" s="452" t="s">
        <v>787</v>
      </c>
      <c r="D39" s="51">
        <v>102076</v>
      </c>
      <c r="E39" s="55">
        <v>10</v>
      </c>
      <c r="F39" s="447">
        <f t="shared" si="0"/>
        <v>60358</v>
      </c>
      <c r="G39" s="448">
        <f t="shared" si="1"/>
        <v>60177</v>
      </c>
      <c r="H39" s="449">
        <v>24299</v>
      </c>
      <c r="I39" s="450">
        <v>23985</v>
      </c>
      <c r="J39" s="449">
        <v>0</v>
      </c>
      <c r="K39" s="450"/>
      <c r="L39" s="449">
        <v>36059</v>
      </c>
      <c r="M39" s="449"/>
      <c r="N39" s="449"/>
      <c r="O39" s="450">
        <v>36192</v>
      </c>
      <c r="P39" s="450"/>
      <c r="Q39" s="450"/>
      <c r="R39" s="449"/>
      <c r="S39" s="450"/>
      <c r="T39" s="447">
        <f t="shared" si="2"/>
        <v>0</v>
      </c>
      <c r="U39" s="448">
        <f t="shared" si="3"/>
        <v>0</v>
      </c>
      <c r="V39" s="449"/>
      <c r="W39" s="450"/>
      <c r="X39" s="449"/>
      <c r="Y39" s="450"/>
      <c r="Z39" s="449"/>
      <c r="AA39" s="449"/>
      <c r="AB39" s="449"/>
      <c r="AC39" s="450"/>
      <c r="AD39" s="450"/>
      <c r="AE39" s="450"/>
      <c r="AF39" s="449"/>
      <c r="AG39" s="450"/>
    </row>
    <row r="40" spans="1:33">
      <c r="A40" s="90" t="s">
        <v>50</v>
      </c>
      <c r="B40" s="91" t="s">
        <v>755</v>
      </c>
      <c r="C40" s="13"/>
      <c r="D40" s="51">
        <v>102313</v>
      </c>
      <c r="E40" s="55">
        <v>12</v>
      </c>
      <c r="F40" s="447">
        <f t="shared" si="0"/>
        <v>41951</v>
      </c>
      <c r="G40" s="448">
        <f t="shared" si="1"/>
        <v>44337</v>
      </c>
      <c r="H40" s="449">
        <v>36519</v>
      </c>
      <c r="I40" s="450">
        <v>36188</v>
      </c>
      <c r="J40" s="449">
        <v>1815</v>
      </c>
      <c r="K40" s="450">
        <v>1603</v>
      </c>
      <c r="L40" s="449">
        <v>3617</v>
      </c>
      <c r="M40" s="449"/>
      <c r="N40" s="449"/>
      <c r="O40" s="450">
        <v>6546</v>
      </c>
      <c r="P40" s="450"/>
      <c r="Q40" s="450"/>
      <c r="R40" s="449"/>
      <c r="S40" s="450"/>
      <c r="T40" s="447">
        <f t="shared" si="2"/>
        <v>0</v>
      </c>
      <c r="U40" s="448">
        <f t="shared" si="3"/>
        <v>0</v>
      </c>
      <c r="V40" s="449"/>
      <c r="W40" s="450"/>
      <c r="X40" s="449"/>
      <c r="Y40" s="450"/>
      <c r="Z40" s="449"/>
      <c r="AA40" s="449"/>
      <c r="AB40" s="449"/>
      <c r="AC40" s="450"/>
      <c r="AD40" s="450"/>
      <c r="AE40" s="450"/>
      <c r="AF40" s="449"/>
      <c r="AG40" s="450"/>
    </row>
    <row r="41" spans="1:33">
      <c r="A41" s="90" t="s">
        <v>50</v>
      </c>
      <c r="B41" s="91" t="s">
        <v>756</v>
      </c>
      <c r="C41" s="14"/>
      <c r="D41" s="51">
        <v>101462</v>
      </c>
      <c r="E41" s="55">
        <v>13</v>
      </c>
      <c r="F41" s="447">
        <f t="shared" si="0"/>
        <v>17250</v>
      </c>
      <c r="G41" s="448">
        <f t="shared" si="1"/>
        <v>16002</v>
      </c>
      <c r="H41" s="449">
        <v>11613</v>
      </c>
      <c r="I41" s="450">
        <v>10532</v>
      </c>
      <c r="J41" s="449">
        <v>212</v>
      </c>
      <c r="K41" s="450">
        <v>73</v>
      </c>
      <c r="L41" s="449">
        <v>5425</v>
      </c>
      <c r="M41" s="449"/>
      <c r="N41" s="449"/>
      <c r="O41" s="450">
        <v>5397</v>
      </c>
      <c r="P41" s="450"/>
      <c r="Q41" s="450"/>
      <c r="R41" s="449"/>
      <c r="S41" s="450"/>
      <c r="T41" s="447">
        <f t="shared" si="2"/>
        <v>0</v>
      </c>
      <c r="U41" s="448">
        <f t="shared" si="3"/>
        <v>0</v>
      </c>
      <c r="V41" s="449"/>
      <c r="W41" s="450"/>
      <c r="X41" s="449"/>
      <c r="Y41" s="450"/>
      <c r="Z41" s="449"/>
      <c r="AA41" s="449"/>
      <c r="AB41" s="449"/>
      <c r="AC41" s="450"/>
      <c r="AD41" s="450"/>
      <c r="AE41" s="450"/>
      <c r="AF41" s="449"/>
      <c r="AG41" s="450"/>
    </row>
    <row r="42" spans="1:33">
      <c r="A42" s="90" t="s">
        <v>50</v>
      </c>
      <c r="B42" s="87" t="s">
        <v>78</v>
      </c>
      <c r="C42" s="14"/>
      <c r="D42" s="51">
        <v>101471</v>
      </c>
      <c r="E42" s="55">
        <v>13</v>
      </c>
      <c r="F42" s="447">
        <f t="shared" si="0"/>
        <v>14994</v>
      </c>
      <c r="G42" s="448">
        <f t="shared" si="1"/>
        <v>18353</v>
      </c>
      <c r="H42" s="449">
        <v>14994</v>
      </c>
      <c r="I42" s="450">
        <v>18213</v>
      </c>
      <c r="J42" s="449">
        <v>0</v>
      </c>
      <c r="K42" s="450">
        <v>140</v>
      </c>
      <c r="L42" s="449">
        <v>0</v>
      </c>
      <c r="M42" s="449"/>
      <c r="N42" s="449"/>
      <c r="O42" s="450"/>
      <c r="P42" s="450"/>
      <c r="Q42" s="450"/>
      <c r="R42" s="449"/>
      <c r="S42" s="450"/>
      <c r="T42" s="447">
        <f t="shared" si="2"/>
        <v>0</v>
      </c>
      <c r="U42" s="448">
        <f t="shared" si="3"/>
        <v>0</v>
      </c>
      <c r="V42" s="449"/>
      <c r="W42" s="450"/>
      <c r="X42" s="449"/>
      <c r="Y42" s="450"/>
      <c r="Z42" s="449"/>
      <c r="AA42" s="449"/>
      <c r="AB42" s="449"/>
      <c r="AC42" s="450"/>
      <c r="AD42" s="450"/>
      <c r="AE42" s="450"/>
      <c r="AF42" s="449"/>
      <c r="AG42" s="450"/>
    </row>
    <row r="43" spans="1:33">
      <c r="A43" s="90" t="s">
        <v>50</v>
      </c>
      <c r="B43" s="87" t="s">
        <v>79</v>
      </c>
      <c r="C43" s="14"/>
      <c r="D43" s="51">
        <v>101994</v>
      </c>
      <c r="E43" s="55">
        <v>13</v>
      </c>
      <c r="F43" s="447">
        <f t="shared" si="0"/>
        <v>8717</v>
      </c>
      <c r="G43" s="448">
        <f t="shared" si="1"/>
        <v>10760</v>
      </c>
      <c r="H43" s="449">
        <v>6803</v>
      </c>
      <c r="I43" s="450">
        <v>7950</v>
      </c>
      <c r="J43" s="449">
        <v>1887</v>
      </c>
      <c r="K43" s="450">
        <v>2810</v>
      </c>
      <c r="L43" s="449">
        <v>27</v>
      </c>
      <c r="M43" s="449"/>
      <c r="N43" s="449"/>
      <c r="O43" s="450"/>
      <c r="P43" s="450"/>
      <c r="Q43" s="450"/>
      <c r="R43" s="449"/>
      <c r="S43" s="450"/>
      <c r="T43" s="447">
        <f t="shared" si="2"/>
        <v>0</v>
      </c>
      <c r="U43" s="448">
        <f t="shared" si="3"/>
        <v>0</v>
      </c>
      <c r="V43" s="449"/>
      <c r="W43" s="450"/>
      <c r="X43" s="449"/>
      <c r="Y43" s="450"/>
      <c r="Z43" s="449"/>
      <c r="AA43" s="449"/>
      <c r="AB43" s="449"/>
      <c r="AC43" s="450"/>
      <c r="AD43" s="450"/>
      <c r="AE43" s="450"/>
      <c r="AF43" s="449"/>
      <c r="AG43" s="450"/>
    </row>
    <row r="44" spans="1:33">
      <c r="A44" s="90" t="s">
        <v>50</v>
      </c>
      <c r="B44" s="87" t="s">
        <v>80</v>
      </c>
      <c r="C44" s="121"/>
      <c r="D44" s="51">
        <v>101648</v>
      </c>
      <c r="E44" s="55">
        <v>15</v>
      </c>
      <c r="F44" s="447">
        <f t="shared" si="0"/>
        <v>13456</v>
      </c>
      <c r="G44" s="448">
        <f t="shared" si="1"/>
        <v>12854</v>
      </c>
      <c r="H44" s="449">
        <v>13272</v>
      </c>
      <c r="I44" s="450">
        <v>12405</v>
      </c>
      <c r="J44" s="449">
        <v>0</v>
      </c>
      <c r="K44" s="450"/>
      <c r="L44" s="449">
        <v>184</v>
      </c>
      <c r="M44" s="449"/>
      <c r="N44" s="449"/>
      <c r="O44" s="450">
        <v>449</v>
      </c>
      <c r="P44" s="450"/>
      <c r="Q44" s="450"/>
      <c r="R44" s="449"/>
      <c r="S44" s="450"/>
      <c r="T44" s="447">
        <f t="shared" si="2"/>
        <v>0</v>
      </c>
      <c r="U44" s="448">
        <f t="shared" si="3"/>
        <v>0</v>
      </c>
      <c r="V44" s="449"/>
      <c r="W44" s="450"/>
      <c r="X44" s="449"/>
      <c r="Y44" s="450"/>
      <c r="Z44" s="449"/>
      <c r="AA44" s="449"/>
      <c r="AB44" s="449"/>
      <c r="AC44" s="450"/>
      <c r="AD44" s="450"/>
      <c r="AE44" s="450"/>
      <c r="AF44" s="449"/>
      <c r="AG44" s="450"/>
    </row>
    <row r="45" spans="1:33">
      <c r="A45" s="12" t="s">
        <v>81</v>
      </c>
      <c r="B45" s="453" t="s">
        <v>82</v>
      </c>
      <c r="C45" s="7"/>
      <c r="D45" s="11">
        <v>106397</v>
      </c>
      <c r="E45" s="454">
        <v>1</v>
      </c>
      <c r="F45" s="447">
        <f t="shared" si="0"/>
        <v>658267</v>
      </c>
      <c r="G45" s="448">
        <f t="shared" si="1"/>
        <v>670354</v>
      </c>
      <c r="H45" s="449">
        <v>586848</v>
      </c>
      <c r="I45" s="450">
        <v>593342</v>
      </c>
      <c r="J45" s="449">
        <v>8301</v>
      </c>
      <c r="K45" s="450">
        <v>9131</v>
      </c>
      <c r="L45" s="449">
        <v>58649</v>
      </c>
      <c r="M45" s="449">
        <v>356</v>
      </c>
      <c r="N45" s="449">
        <v>27</v>
      </c>
      <c r="O45" s="455">
        <v>64712</v>
      </c>
      <c r="P45" s="450">
        <v>520</v>
      </c>
      <c r="Q45" s="450">
        <v>0</v>
      </c>
      <c r="R45" s="449">
        <v>4086</v>
      </c>
      <c r="S45" s="450">
        <v>2649</v>
      </c>
      <c r="T45" s="447">
        <f t="shared" si="2"/>
        <v>79091</v>
      </c>
      <c r="U45" s="448">
        <f t="shared" si="3"/>
        <v>76358</v>
      </c>
      <c r="V45" s="449">
        <v>53073</v>
      </c>
      <c r="W45" s="450">
        <v>50823</v>
      </c>
      <c r="X45" s="449">
        <v>556</v>
      </c>
      <c r="Y45" s="450">
        <v>569</v>
      </c>
      <c r="Z45" s="449">
        <v>25272</v>
      </c>
      <c r="AA45" s="449">
        <v>30</v>
      </c>
      <c r="AB45" s="449">
        <v>0</v>
      </c>
      <c r="AC45" s="450">
        <v>24930</v>
      </c>
      <c r="AD45" s="450">
        <v>36</v>
      </c>
      <c r="AE45" s="450">
        <v>0</v>
      </c>
      <c r="AF45" s="449">
        <v>160</v>
      </c>
      <c r="AG45" s="450">
        <v>0</v>
      </c>
    </row>
    <row r="46" spans="1:33">
      <c r="A46" s="12" t="s">
        <v>81</v>
      </c>
      <c r="B46" s="453" t="s">
        <v>83</v>
      </c>
      <c r="C46" s="7"/>
      <c r="D46" s="11">
        <v>106245</v>
      </c>
      <c r="E46" s="454">
        <v>2</v>
      </c>
      <c r="F46" s="447">
        <f t="shared" si="0"/>
        <v>203956</v>
      </c>
      <c r="G46" s="448">
        <f t="shared" si="1"/>
        <v>168675</v>
      </c>
      <c r="H46" s="449">
        <v>105993</v>
      </c>
      <c r="I46" s="450">
        <v>95402</v>
      </c>
      <c r="J46" s="449">
        <v>25264</v>
      </c>
      <c r="K46" s="450">
        <v>2184</v>
      </c>
      <c r="L46" s="449">
        <v>72603</v>
      </c>
      <c r="M46" s="449">
        <v>0</v>
      </c>
      <c r="N46" s="449">
        <v>0</v>
      </c>
      <c r="O46" s="455">
        <v>71089</v>
      </c>
      <c r="P46" s="450">
        <v>0</v>
      </c>
      <c r="Q46" s="450">
        <v>0</v>
      </c>
      <c r="R46" s="449">
        <v>96</v>
      </c>
      <c r="S46" s="450">
        <v>0</v>
      </c>
      <c r="T46" s="447">
        <f t="shared" si="2"/>
        <v>42678</v>
      </c>
      <c r="U46" s="448">
        <f t="shared" si="3"/>
        <v>41407</v>
      </c>
      <c r="V46" s="449">
        <v>29534</v>
      </c>
      <c r="W46" s="450">
        <v>18279</v>
      </c>
      <c r="X46" s="449">
        <v>665</v>
      </c>
      <c r="Y46" s="450">
        <v>11250</v>
      </c>
      <c r="Z46" s="449">
        <v>12446</v>
      </c>
      <c r="AA46" s="449">
        <v>0</v>
      </c>
      <c r="AB46" s="449">
        <v>0</v>
      </c>
      <c r="AC46" s="450">
        <v>11878</v>
      </c>
      <c r="AD46" s="450">
        <v>0</v>
      </c>
      <c r="AE46" s="450">
        <v>0</v>
      </c>
      <c r="AF46" s="449">
        <v>33</v>
      </c>
      <c r="AG46" s="450">
        <v>0</v>
      </c>
    </row>
    <row r="47" spans="1:33">
      <c r="A47" s="12" t="s">
        <v>81</v>
      </c>
      <c r="B47" s="453" t="s">
        <v>84</v>
      </c>
      <c r="C47" s="7"/>
      <c r="D47" s="11">
        <v>106458</v>
      </c>
      <c r="E47" s="454">
        <v>3</v>
      </c>
      <c r="F47" s="447">
        <f t="shared" si="0"/>
        <v>259951</v>
      </c>
      <c r="G47" s="448">
        <f t="shared" si="1"/>
        <v>254704</v>
      </c>
      <c r="H47" s="449">
        <v>164056</v>
      </c>
      <c r="I47" s="450">
        <v>162754</v>
      </c>
      <c r="J47" s="449">
        <v>16221</v>
      </c>
      <c r="K47" s="450">
        <v>14272</v>
      </c>
      <c r="L47" s="449">
        <v>78616</v>
      </c>
      <c r="M47" s="449">
        <v>987</v>
      </c>
      <c r="N47" s="449">
        <v>0</v>
      </c>
      <c r="O47" s="455">
        <v>76767</v>
      </c>
      <c r="P47" s="450">
        <v>911</v>
      </c>
      <c r="Q47" s="450">
        <v>0</v>
      </c>
      <c r="R47" s="449">
        <v>71</v>
      </c>
      <c r="S47" s="450">
        <v>0</v>
      </c>
      <c r="T47" s="447">
        <f t="shared" si="2"/>
        <v>99847</v>
      </c>
      <c r="U47" s="448">
        <f t="shared" si="3"/>
        <v>102096</v>
      </c>
      <c r="V47" s="449">
        <v>21978</v>
      </c>
      <c r="W47" s="450">
        <v>21707</v>
      </c>
      <c r="X47" s="449">
        <v>6</v>
      </c>
      <c r="Y47" s="450">
        <v>54</v>
      </c>
      <c r="Z47" s="449">
        <v>77833</v>
      </c>
      <c r="AA47" s="449">
        <v>0</v>
      </c>
      <c r="AB47" s="449">
        <v>15</v>
      </c>
      <c r="AC47" s="450">
        <v>80335</v>
      </c>
      <c r="AD47" s="450">
        <v>0</v>
      </c>
      <c r="AE47" s="450">
        <v>0</v>
      </c>
      <c r="AF47" s="449">
        <v>15</v>
      </c>
      <c r="AG47" s="450">
        <v>0</v>
      </c>
    </row>
    <row r="48" spans="1:33">
      <c r="A48" s="12" t="s">
        <v>81</v>
      </c>
      <c r="B48" s="453" t="s">
        <v>85</v>
      </c>
      <c r="C48" s="6"/>
      <c r="D48" s="11">
        <v>106467</v>
      </c>
      <c r="E48" s="454">
        <v>3</v>
      </c>
      <c r="F48" s="447">
        <f t="shared" si="0"/>
        <v>243727</v>
      </c>
      <c r="G48" s="448">
        <f t="shared" si="1"/>
        <v>240784</v>
      </c>
      <c r="H48" s="449">
        <v>161776</v>
      </c>
      <c r="I48" s="450">
        <v>153615</v>
      </c>
      <c r="J48" s="449">
        <v>17997</v>
      </c>
      <c r="K48" s="450">
        <v>19130</v>
      </c>
      <c r="L48" s="449">
        <v>61999</v>
      </c>
      <c r="M48" s="449">
        <v>0</v>
      </c>
      <c r="N48" s="449">
        <v>1955</v>
      </c>
      <c r="O48" s="455">
        <v>65366</v>
      </c>
      <c r="P48" s="450">
        <v>0</v>
      </c>
      <c r="Q48" s="450">
        <v>2673</v>
      </c>
      <c r="R48" s="449">
        <v>0</v>
      </c>
      <c r="S48" s="450">
        <v>0</v>
      </c>
      <c r="T48" s="447">
        <f t="shared" si="2"/>
        <v>15860</v>
      </c>
      <c r="U48" s="448">
        <f t="shared" si="3"/>
        <v>14102</v>
      </c>
      <c r="V48" s="449">
        <v>5220</v>
      </c>
      <c r="W48" s="450">
        <v>3656</v>
      </c>
      <c r="X48" s="449">
        <v>150</v>
      </c>
      <c r="Y48" s="450">
        <v>138</v>
      </c>
      <c r="Z48" s="449">
        <v>9793</v>
      </c>
      <c r="AA48" s="449">
        <v>0</v>
      </c>
      <c r="AB48" s="449">
        <v>697</v>
      </c>
      <c r="AC48" s="450">
        <v>9864</v>
      </c>
      <c r="AD48" s="450">
        <v>0</v>
      </c>
      <c r="AE48" s="450">
        <v>444</v>
      </c>
      <c r="AF48" s="449">
        <v>0</v>
      </c>
      <c r="AG48" s="450">
        <v>0</v>
      </c>
    </row>
    <row r="49" spans="1:33">
      <c r="A49" s="12" t="s">
        <v>81</v>
      </c>
      <c r="B49" s="453" t="s">
        <v>86</v>
      </c>
      <c r="C49" s="7"/>
      <c r="D49" s="11">
        <v>106704</v>
      </c>
      <c r="E49" s="454">
        <v>3</v>
      </c>
      <c r="F49" s="447">
        <f t="shared" si="0"/>
        <v>262529</v>
      </c>
      <c r="G49" s="448">
        <f t="shared" si="1"/>
        <v>260689</v>
      </c>
      <c r="H49" s="449">
        <v>231454</v>
      </c>
      <c r="I49" s="450">
        <v>225366</v>
      </c>
      <c r="J49" s="449">
        <v>4324</v>
      </c>
      <c r="K49" s="450">
        <v>4325</v>
      </c>
      <c r="L49" s="449">
        <v>26355</v>
      </c>
      <c r="M49" s="449">
        <v>378</v>
      </c>
      <c r="N49" s="449">
        <v>0</v>
      </c>
      <c r="O49" s="455">
        <v>30653</v>
      </c>
      <c r="P49" s="450">
        <v>303</v>
      </c>
      <c r="Q49" s="450">
        <v>42</v>
      </c>
      <c r="R49" s="449">
        <v>18</v>
      </c>
      <c r="S49" s="450">
        <v>0</v>
      </c>
      <c r="T49" s="447">
        <f t="shared" si="2"/>
        <v>36613</v>
      </c>
      <c r="U49" s="448">
        <f t="shared" si="3"/>
        <v>36559</v>
      </c>
      <c r="V49" s="449">
        <v>20558</v>
      </c>
      <c r="W49" s="450">
        <v>20314</v>
      </c>
      <c r="X49" s="449">
        <v>0</v>
      </c>
      <c r="Y49" s="450">
        <v>33</v>
      </c>
      <c r="Z49" s="449">
        <v>11806</v>
      </c>
      <c r="AA49" s="449">
        <v>4249</v>
      </c>
      <c r="AB49" s="449">
        <v>0</v>
      </c>
      <c r="AC49" s="450">
        <v>13690</v>
      </c>
      <c r="AD49" s="450">
        <v>2376</v>
      </c>
      <c r="AE49" s="450">
        <v>146</v>
      </c>
      <c r="AF49" s="449">
        <v>0</v>
      </c>
      <c r="AG49" s="450">
        <v>0</v>
      </c>
    </row>
    <row r="50" spans="1:33">
      <c r="A50" s="12" t="s">
        <v>81</v>
      </c>
      <c r="B50" s="453" t="s">
        <v>87</v>
      </c>
      <c r="C50" s="7"/>
      <c r="D50" s="11">
        <v>107071</v>
      </c>
      <c r="E50" s="454">
        <v>4</v>
      </c>
      <c r="F50" s="447">
        <f t="shared" si="0"/>
        <v>83324</v>
      </c>
      <c r="G50" s="448">
        <f t="shared" si="1"/>
        <v>92003</v>
      </c>
      <c r="H50" s="449">
        <v>64997</v>
      </c>
      <c r="I50" s="450">
        <v>68475</v>
      </c>
      <c r="J50" s="449">
        <v>1824</v>
      </c>
      <c r="K50" s="450">
        <v>5333</v>
      </c>
      <c r="L50" s="449">
        <v>16358</v>
      </c>
      <c r="M50" s="449">
        <v>0</v>
      </c>
      <c r="N50" s="449">
        <v>0</v>
      </c>
      <c r="O50" s="455">
        <v>18195</v>
      </c>
      <c r="P50" s="450">
        <v>0</v>
      </c>
      <c r="Q50" s="450">
        <v>0</v>
      </c>
      <c r="R50" s="449">
        <v>145</v>
      </c>
      <c r="S50" s="450">
        <v>0</v>
      </c>
      <c r="T50" s="447">
        <f t="shared" si="2"/>
        <v>7674</v>
      </c>
      <c r="U50" s="448">
        <f t="shared" si="3"/>
        <v>9983</v>
      </c>
      <c r="V50" s="449">
        <v>2179</v>
      </c>
      <c r="W50" s="450">
        <v>2364</v>
      </c>
      <c r="X50" s="449">
        <v>129</v>
      </c>
      <c r="Y50" s="450">
        <v>281</v>
      </c>
      <c r="Z50" s="449">
        <v>5357</v>
      </c>
      <c r="AA50" s="449">
        <v>0</v>
      </c>
      <c r="AB50" s="449">
        <v>0</v>
      </c>
      <c r="AC50" s="450">
        <v>7338</v>
      </c>
      <c r="AD50" s="450">
        <v>0</v>
      </c>
      <c r="AE50" s="450">
        <v>0</v>
      </c>
      <c r="AF50" s="449">
        <v>9</v>
      </c>
      <c r="AG50" s="450">
        <v>0</v>
      </c>
    </row>
    <row r="51" spans="1:33">
      <c r="A51" s="12" t="s">
        <v>81</v>
      </c>
      <c r="B51" s="453" t="s">
        <v>88</v>
      </c>
      <c r="C51" s="6"/>
      <c r="D51" s="11">
        <v>107983</v>
      </c>
      <c r="E51" s="454">
        <v>4</v>
      </c>
      <c r="F51" s="447">
        <f t="shared" si="0"/>
        <v>96189</v>
      </c>
      <c r="G51" s="448">
        <f t="shared" si="1"/>
        <v>98051</v>
      </c>
      <c r="H51" s="449">
        <v>75130</v>
      </c>
      <c r="I51" s="450">
        <v>75939</v>
      </c>
      <c r="J51" s="449">
        <v>1995</v>
      </c>
      <c r="K51" s="450">
        <v>1829</v>
      </c>
      <c r="L51" s="449">
        <v>19064</v>
      </c>
      <c r="M51" s="449">
        <v>0</v>
      </c>
      <c r="N51" s="449">
        <v>0</v>
      </c>
      <c r="O51" s="455">
        <v>20283</v>
      </c>
      <c r="P51" s="450">
        <v>0</v>
      </c>
      <c r="Q51" s="450">
        <v>0</v>
      </c>
      <c r="R51" s="449">
        <v>0</v>
      </c>
      <c r="S51" s="450">
        <v>0</v>
      </c>
      <c r="T51" s="447">
        <f t="shared" si="2"/>
        <v>17821</v>
      </c>
      <c r="U51" s="448">
        <f t="shared" si="3"/>
        <v>15027</v>
      </c>
      <c r="V51" s="449">
        <v>1578</v>
      </c>
      <c r="W51" s="450">
        <v>1782</v>
      </c>
      <c r="X51" s="449">
        <v>2455</v>
      </c>
      <c r="Y51" s="450">
        <v>492</v>
      </c>
      <c r="Z51" s="449">
        <v>13788</v>
      </c>
      <c r="AA51" s="449">
        <v>0</v>
      </c>
      <c r="AB51" s="449">
        <v>0</v>
      </c>
      <c r="AC51" s="450">
        <v>12753</v>
      </c>
      <c r="AD51" s="450">
        <v>0</v>
      </c>
      <c r="AE51" s="450">
        <v>0</v>
      </c>
      <c r="AF51" s="449">
        <v>0</v>
      </c>
      <c r="AG51" s="450">
        <v>0</v>
      </c>
    </row>
    <row r="52" spans="1:33">
      <c r="A52" s="12" t="s">
        <v>81</v>
      </c>
      <c r="B52" s="453" t="s">
        <v>89</v>
      </c>
      <c r="C52" s="6" t="s">
        <v>788</v>
      </c>
      <c r="D52" s="11">
        <v>106485</v>
      </c>
      <c r="E52" s="456">
        <v>4</v>
      </c>
      <c r="F52" s="447">
        <f t="shared" si="0"/>
        <v>78724</v>
      </c>
      <c r="G52" s="448">
        <f t="shared" si="1"/>
        <v>70020</v>
      </c>
      <c r="H52" s="449">
        <v>49046</v>
      </c>
      <c r="I52" s="450">
        <v>43802</v>
      </c>
      <c r="J52" s="449">
        <v>10739</v>
      </c>
      <c r="K52" s="450">
        <v>11003</v>
      </c>
      <c r="L52" s="449">
        <v>18336</v>
      </c>
      <c r="M52" s="449">
        <v>3</v>
      </c>
      <c r="N52" s="449">
        <v>0</v>
      </c>
      <c r="O52" s="455">
        <v>15215</v>
      </c>
      <c r="P52" s="450">
        <v>0</v>
      </c>
      <c r="Q52" s="450">
        <v>0</v>
      </c>
      <c r="R52" s="449">
        <v>600</v>
      </c>
      <c r="S52" s="450">
        <v>0</v>
      </c>
      <c r="T52" s="447">
        <f t="shared" si="2"/>
        <v>5987</v>
      </c>
      <c r="U52" s="448">
        <f t="shared" si="3"/>
        <v>6579</v>
      </c>
      <c r="V52" s="449">
        <v>979</v>
      </c>
      <c r="W52" s="450">
        <v>1107</v>
      </c>
      <c r="X52" s="449"/>
      <c r="Y52" s="450"/>
      <c r="Z52" s="449">
        <v>5008</v>
      </c>
      <c r="AA52" s="449">
        <v>0</v>
      </c>
      <c r="AB52" s="449">
        <v>0</v>
      </c>
      <c r="AC52" s="450">
        <v>5472</v>
      </c>
      <c r="AD52" s="450">
        <v>0</v>
      </c>
      <c r="AE52" s="450">
        <v>0</v>
      </c>
      <c r="AF52" s="449">
        <v>0</v>
      </c>
      <c r="AG52" s="450">
        <v>0</v>
      </c>
    </row>
    <row r="53" spans="1:33">
      <c r="A53" s="12" t="s">
        <v>81</v>
      </c>
      <c r="B53" s="453" t="s">
        <v>90</v>
      </c>
      <c r="C53" s="7"/>
      <c r="D53" s="11">
        <v>108092</v>
      </c>
      <c r="E53" s="454">
        <v>6</v>
      </c>
      <c r="F53" s="447">
        <f t="shared" si="0"/>
        <v>157956</v>
      </c>
      <c r="G53" s="448">
        <f t="shared" si="1"/>
        <v>156537</v>
      </c>
      <c r="H53" s="449">
        <v>105474</v>
      </c>
      <c r="I53" s="450">
        <v>97365</v>
      </c>
      <c r="J53" s="449">
        <v>12470</v>
      </c>
      <c r="K53" s="450">
        <v>15998</v>
      </c>
      <c r="L53" s="449">
        <v>40012</v>
      </c>
      <c r="M53" s="449">
        <v>0</v>
      </c>
      <c r="N53" s="449">
        <v>0</v>
      </c>
      <c r="O53" s="455">
        <v>43162</v>
      </c>
      <c r="P53" s="450">
        <v>12</v>
      </c>
      <c r="Q53" s="450">
        <v>0</v>
      </c>
      <c r="R53" s="449">
        <v>0</v>
      </c>
      <c r="S53" s="450">
        <v>0</v>
      </c>
      <c r="T53" s="447">
        <f t="shared" si="2"/>
        <v>231</v>
      </c>
      <c r="U53" s="448">
        <f t="shared" si="3"/>
        <v>464</v>
      </c>
      <c r="V53" s="449">
        <v>0</v>
      </c>
      <c r="W53" s="450">
        <v>0</v>
      </c>
      <c r="X53" s="449"/>
      <c r="Y53" s="450"/>
      <c r="Z53" s="449">
        <v>231</v>
      </c>
      <c r="AA53" s="449">
        <v>0</v>
      </c>
      <c r="AB53" s="449">
        <v>0</v>
      </c>
      <c r="AC53" s="450">
        <v>464</v>
      </c>
      <c r="AD53" s="450">
        <v>0</v>
      </c>
      <c r="AE53" s="450">
        <v>0</v>
      </c>
      <c r="AF53" s="449">
        <v>0</v>
      </c>
      <c r="AG53" s="450">
        <v>0</v>
      </c>
    </row>
    <row r="54" spans="1:33">
      <c r="A54" s="12" t="s">
        <v>81</v>
      </c>
      <c r="B54" s="453" t="s">
        <v>91</v>
      </c>
      <c r="C54" s="7"/>
      <c r="D54" s="11">
        <v>106412</v>
      </c>
      <c r="E54" s="454">
        <v>6</v>
      </c>
      <c r="F54" s="447">
        <f t="shared" si="0"/>
        <v>72699</v>
      </c>
      <c r="G54" s="448">
        <f t="shared" si="1"/>
        <v>70595</v>
      </c>
      <c r="H54" s="449">
        <v>59360</v>
      </c>
      <c r="I54" s="450">
        <v>56940</v>
      </c>
      <c r="J54" s="449">
        <v>108</v>
      </c>
      <c r="K54" s="450">
        <v>50</v>
      </c>
      <c r="L54" s="449">
        <v>13231</v>
      </c>
      <c r="M54" s="449">
        <v>0</v>
      </c>
      <c r="N54" s="449">
        <v>0</v>
      </c>
      <c r="O54" s="455">
        <v>13605</v>
      </c>
      <c r="P54" s="450">
        <v>0</v>
      </c>
      <c r="Q54" s="450">
        <v>0</v>
      </c>
      <c r="R54" s="449">
        <v>0</v>
      </c>
      <c r="S54" s="450">
        <v>0</v>
      </c>
      <c r="T54" s="447">
        <f t="shared" si="2"/>
        <v>1493</v>
      </c>
      <c r="U54" s="448">
        <f t="shared" si="3"/>
        <v>1663</v>
      </c>
      <c r="V54" s="449">
        <v>1160</v>
      </c>
      <c r="W54" s="450">
        <v>1282</v>
      </c>
      <c r="X54" s="449"/>
      <c r="Y54" s="450"/>
      <c r="Z54" s="449">
        <v>333</v>
      </c>
      <c r="AA54" s="449">
        <v>0</v>
      </c>
      <c r="AB54" s="449">
        <v>0</v>
      </c>
      <c r="AC54" s="450">
        <v>381</v>
      </c>
      <c r="AD54" s="450">
        <v>0</v>
      </c>
      <c r="AE54" s="450">
        <v>0</v>
      </c>
      <c r="AF54" s="449">
        <v>0</v>
      </c>
      <c r="AG54" s="450">
        <v>0</v>
      </c>
    </row>
    <row r="55" spans="1:33">
      <c r="A55" s="12" t="s">
        <v>81</v>
      </c>
      <c r="B55" s="453" t="s">
        <v>92</v>
      </c>
      <c r="C55" s="7"/>
      <c r="D55" s="10">
        <v>367459</v>
      </c>
      <c r="E55" s="457">
        <v>8</v>
      </c>
      <c r="F55" s="447">
        <f t="shared" si="0"/>
        <v>148520</v>
      </c>
      <c r="G55" s="448">
        <f t="shared" si="1"/>
        <v>149512</v>
      </c>
      <c r="H55" s="449">
        <v>90267</v>
      </c>
      <c r="I55" s="450">
        <v>89138</v>
      </c>
      <c r="J55" s="449">
        <v>15621</v>
      </c>
      <c r="K55" s="450">
        <v>14384</v>
      </c>
      <c r="L55" s="449">
        <v>42628</v>
      </c>
      <c r="M55" s="449">
        <v>0</v>
      </c>
      <c r="N55" s="449">
        <v>0</v>
      </c>
      <c r="O55" s="455">
        <v>45990</v>
      </c>
      <c r="P55" s="450">
        <v>0</v>
      </c>
      <c r="Q55" s="450">
        <v>0</v>
      </c>
      <c r="R55" s="449">
        <v>4</v>
      </c>
      <c r="S55" s="450">
        <v>0</v>
      </c>
      <c r="T55" s="447">
        <f t="shared" si="2"/>
        <v>0</v>
      </c>
      <c r="U55" s="448">
        <f t="shared" si="3"/>
        <v>0</v>
      </c>
      <c r="V55" s="449"/>
      <c r="W55" s="450"/>
      <c r="X55" s="449"/>
      <c r="Y55" s="450"/>
      <c r="Z55" s="449"/>
      <c r="AA55" s="449"/>
      <c r="AB55" s="449"/>
      <c r="AC55" s="450"/>
      <c r="AD55" s="450"/>
      <c r="AE55" s="450"/>
      <c r="AF55" s="449"/>
      <c r="AG55" s="450"/>
    </row>
    <row r="56" spans="1:33">
      <c r="A56" s="12" t="s">
        <v>81</v>
      </c>
      <c r="B56" s="453" t="s">
        <v>93</v>
      </c>
      <c r="C56" s="7"/>
      <c r="D56" s="10">
        <v>106449</v>
      </c>
      <c r="E56" s="457">
        <v>9</v>
      </c>
      <c r="F56" s="447">
        <f t="shared" si="0"/>
        <v>80683</v>
      </c>
      <c r="G56" s="448">
        <f t="shared" si="1"/>
        <v>75950</v>
      </c>
      <c r="H56" s="449">
        <v>50029</v>
      </c>
      <c r="I56" s="450">
        <v>45457</v>
      </c>
      <c r="J56" s="449">
        <v>9283</v>
      </c>
      <c r="K56" s="450">
        <v>8769</v>
      </c>
      <c r="L56" s="449">
        <v>21314</v>
      </c>
      <c r="M56" s="449">
        <v>57</v>
      </c>
      <c r="N56" s="449">
        <v>0</v>
      </c>
      <c r="O56" s="455">
        <v>21586</v>
      </c>
      <c r="P56" s="450">
        <v>138</v>
      </c>
      <c r="Q56" s="450">
        <v>0</v>
      </c>
      <c r="R56" s="449">
        <v>0</v>
      </c>
      <c r="S56" s="450">
        <v>0</v>
      </c>
      <c r="T56" s="447">
        <f t="shared" si="2"/>
        <v>0</v>
      </c>
      <c r="U56" s="448">
        <f t="shared" si="3"/>
        <v>0</v>
      </c>
      <c r="V56" s="449"/>
      <c r="W56" s="450"/>
      <c r="X56" s="449"/>
      <c r="Y56" s="450"/>
      <c r="Z56" s="449"/>
      <c r="AA56" s="449"/>
      <c r="AB56" s="449"/>
      <c r="AC56" s="450"/>
      <c r="AD56" s="450"/>
      <c r="AE56" s="450"/>
      <c r="AF56" s="449"/>
      <c r="AG56" s="450"/>
    </row>
    <row r="57" spans="1:33">
      <c r="A57" s="12" t="s">
        <v>81</v>
      </c>
      <c r="B57" s="453" t="s">
        <v>757</v>
      </c>
      <c r="C57" s="6"/>
      <c r="D57" s="10">
        <v>107664</v>
      </c>
      <c r="E57" s="457">
        <v>9</v>
      </c>
      <c r="F57" s="447">
        <f t="shared" si="0"/>
        <v>118721</v>
      </c>
      <c r="G57" s="448">
        <f t="shared" si="1"/>
        <v>111297</v>
      </c>
      <c r="H57" s="449">
        <v>75482</v>
      </c>
      <c r="I57" s="450">
        <v>71324</v>
      </c>
      <c r="J57" s="449">
        <v>2538</v>
      </c>
      <c r="K57" s="450">
        <v>2637</v>
      </c>
      <c r="L57" s="449">
        <v>40567</v>
      </c>
      <c r="M57" s="449">
        <v>0</v>
      </c>
      <c r="N57" s="449">
        <v>0</v>
      </c>
      <c r="O57" s="458">
        <v>37336</v>
      </c>
      <c r="P57" s="450">
        <v>0</v>
      </c>
      <c r="Q57" s="450">
        <v>0</v>
      </c>
      <c r="R57" s="449">
        <v>134</v>
      </c>
      <c r="S57" s="450">
        <v>0</v>
      </c>
      <c r="T57" s="447">
        <f t="shared" si="2"/>
        <v>0</v>
      </c>
      <c r="U57" s="448">
        <f t="shared" si="3"/>
        <v>0</v>
      </c>
      <c r="V57" s="449"/>
      <c r="W57" s="450"/>
      <c r="X57" s="449"/>
      <c r="Y57" s="450"/>
      <c r="Z57" s="449"/>
      <c r="AA57" s="449"/>
      <c r="AB57" s="449"/>
      <c r="AC57" s="450"/>
      <c r="AD57" s="450"/>
      <c r="AE57" s="450"/>
      <c r="AF57" s="449"/>
      <c r="AG57" s="450"/>
    </row>
    <row r="58" spans="1:33">
      <c r="A58" s="12" t="s">
        <v>81</v>
      </c>
      <c r="B58" s="453" t="s">
        <v>95</v>
      </c>
      <c r="C58" s="7"/>
      <c r="D58" s="10">
        <v>107327</v>
      </c>
      <c r="E58" s="457">
        <v>10</v>
      </c>
      <c r="F58" s="447">
        <f t="shared" si="0"/>
        <v>27550</v>
      </c>
      <c r="G58" s="448">
        <f t="shared" si="1"/>
        <v>26543</v>
      </c>
      <c r="H58" s="449">
        <v>17656</v>
      </c>
      <c r="I58" s="450">
        <v>16023</v>
      </c>
      <c r="J58" s="449">
        <v>389</v>
      </c>
      <c r="K58" s="450">
        <v>416</v>
      </c>
      <c r="L58" s="449">
        <v>9505</v>
      </c>
      <c r="M58" s="449">
        <v>0</v>
      </c>
      <c r="N58" s="449">
        <v>0</v>
      </c>
      <c r="O58" s="455">
        <v>10104</v>
      </c>
      <c r="P58" s="450">
        <v>0</v>
      </c>
      <c r="Q58" s="450">
        <v>0</v>
      </c>
      <c r="R58" s="449">
        <v>0</v>
      </c>
      <c r="S58" s="450">
        <v>0</v>
      </c>
      <c r="T58" s="447">
        <f t="shared" si="2"/>
        <v>0</v>
      </c>
      <c r="U58" s="448">
        <f t="shared" si="3"/>
        <v>0</v>
      </c>
      <c r="V58" s="449"/>
      <c r="W58" s="450"/>
      <c r="X58" s="449"/>
      <c r="Y58" s="450"/>
      <c r="Z58" s="449"/>
      <c r="AA58" s="449"/>
      <c r="AB58" s="449"/>
      <c r="AC58" s="450"/>
      <c r="AD58" s="450"/>
      <c r="AE58" s="450"/>
      <c r="AF58" s="449"/>
      <c r="AG58" s="450"/>
    </row>
    <row r="59" spans="1:33">
      <c r="A59" s="12" t="s">
        <v>81</v>
      </c>
      <c r="B59" s="8" t="s">
        <v>96</v>
      </c>
      <c r="C59" s="7"/>
      <c r="D59" s="10">
        <v>107318</v>
      </c>
      <c r="E59" s="457">
        <v>10</v>
      </c>
      <c r="F59" s="447">
        <f t="shared" si="0"/>
        <v>27040</v>
      </c>
      <c r="G59" s="448">
        <f t="shared" si="1"/>
        <v>24634</v>
      </c>
      <c r="H59" s="449">
        <v>22214</v>
      </c>
      <c r="I59" s="450">
        <v>18097</v>
      </c>
      <c r="J59" s="449">
        <v>0</v>
      </c>
      <c r="K59" s="450">
        <v>36</v>
      </c>
      <c r="L59" s="449">
        <v>4820</v>
      </c>
      <c r="M59" s="449">
        <v>0</v>
      </c>
      <c r="N59" s="449">
        <v>0</v>
      </c>
      <c r="O59" s="455">
        <v>6501</v>
      </c>
      <c r="P59" s="450">
        <v>0</v>
      </c>
      <c r="Q59" s="450">
        <v>0</v>
      </c>
      <c r="R59" s="449">
        <v>6</v>
      </c>
      <c r="S59" s="450">
        <v>0</v>
      </c>
      <c r="T59" s="447">
        <f t="shared" si="2"/>
        <v>0</v>
      </c>
      <c r="U59" s="448">
        <f t="shared" si="3"/>
        <v>0</v>
      </c>
      <c r="V59" s="449"/>
      <c r="W59" s="450"/>
      <c r="X59" s="449"/>
      <c r="Y59" s="450"/>
      <c r="Z59" s="449"/>
      <c r="AA59" s="449"/>
      <c r="AB59" s="449"/>
      <c r="AC59" s="450"/>
      <c r="AD59" s="450"/>
      <c r="AE59" s="450"/>
      <c r="AF59" s="449"/>
      <c r="AG59" s="450"/>
    </row>
    <row r="60" spans="1:33">
      <c r="A60" s="12" t="s">
        <v>81</v>
      </c>
      <c r="B60" s="453" t="s">
        <v>97</v>
      </c>
      <c r="C60" s="7"/>
      <c r="D60" s="10">
        <v>420538</v>
      </c>
      <c r="E60" s="457">
        <v>10</v>
      </c>
      <c r="F60" s="447">
        <f t="shared" si="0"/>
        <v>29732</v>
      </c>
      <c r="G60" s="448">
        <f t="shared" si="1"/>
        <v>29200</v>
      </c>
      <c r="H60" s="449">
        <v>14046</v>
      </c>
      <c r="I60" s="450">
        <v>14702</v>
      </c>
      <c r="J60" s="449">
        <v>4148</v>
      </c>
      <c r="K60" s="450">
        <v>1990</v>
      </c>
      <c r="L60" s="449">
        <v>11232</v>
      </c>
      <c r="M60" s="449">
        <v>306</v>
      </c>
      <c r="N60" s="449">
        <v>0</v>
      </c>
      <c r="O60" s="455">
        <v>12312</v>
      </c>
      <c r="P60" s="450">
        <v>196</v>
      </c>
      <c r="Q60" s="450">
        <v>0</v>
      </c>
      <c r="R60" s="449">
        <v>0</v>
      </c>
      <c r="S60" s="450">
        <v>0</v>
      </c>
      <c r="T60" s="447">
        <f t="shared" si="2"/>
        <v>0</v>
      </c>
      <c r="U60" s="448">
        <f t="shared" si="3"/>
        <v>0</v>
      </c>
      <c r="V60" s="449"/>
      <c r="W60" s="450"/>
      <c r="X60" s="449"/>
      <c r="Y60" s="450"/>
      <c r="Z60" s="449"/>
      <c r="AA60" s="449"/>
      <c r="AB60" s="449"/>
      <c r="AC60" s="450"/>
      <c r="AD60" s="450"/>
      <c r="AE60" s="450"/>
      <c r="AF60" s="449"/>
      <c r="AG60" s="450"/>
    </row>
    <row r="61" spans="1:33">
      <c r="A61" s="12" t="s">
        <v>81</v>
      </c>
      <c r="B61" s="453" t="s">
        <v>789</v>
      </c>
      <c r="C61" s="7" t="s">
        <v>790</v>
      </c>
      <c r="D61" s="10">
        <v>107521</v>
      </c>
      <c r="E61" s="457">
        <v>10</v>
      </c>
      <c r="F61" s="447">
        <f t="shared" si="0"/>
        <v>22640</v>
      </c>
      <c r="G61" s="448">
        <f t="shared" si="1"/>
        <v>21506</v>
      </c>
      <c r="H61" s="449">
        <v>16286</v>
      </c>
      <c r="I61" s="450">
        <v>14626</v>
      </c>
      <c r="J61" s="449">
        <v>3015</v>
      </c>
      <c r="K61" s="450">
        <v>4007</v>
      </c>
      <c r="L61" s="449">
        <v>3339</v>
      </c>
      <c r="M61" s="449">
        <v>0</v>
      </c>
      <c r="N61" s="449">
        <v>0</v>
      </c>
      <c r="O61" s="455">
        <v>2873</v>
      </c>
      <c r="P61" s="450">
        <v>0</v>
      </c>
      <c r="Q61" s="450">
        <v>0</v>
      </c>
      <c r="R61" s="449">
        <v>0</v>
      </c>
      <c r="S61" s="450">
        <v>0</v>
      </c>
      <c r="T61" s="447">
        <f t="shared" si="2"/>
        <v>0</v>
      </c>
      <c r="U61" s="448">
        <f t="shared" si="3"/>
        <v>0</v>
      </c>
      <c r="V61" s="449"/>
      <c r="W61" s="450"/>
      <c r="X61" s="449"/>
      <c r="Y61" s="450"/>
      <c r="Z61" s="449"/>
      <c r="AA61" s="449"/>
      <c r="AB61" s="449"/>
      <c r="AC61" s="450"/>
      <c r="AD61" s="450"/>
      <c r="AE61" s="450"/>
      <c r="AF61" s="449"/>
      <c r="AG61" s="450"/>
    </row>
    <row r="62" spans="1:33">
      <c r="A62" s="12" t="s">
        <v>81</v>
      </c>
      <c r="B62" s="453" t="s">
        <v>98</v>
      </c>
      <c r="C62" s="7"/>
      <c r="D62" s="10">
        <v>440402</v>
      </c>
      <c r="E62" s="457">
        <v>10</v>
      </c>
      <c r="F62" s="447">
        <f t="shared" si="0"/>
        <v>55831</v>
      </c>
      <c r="G62" s="448">
        <f t="shared" si="1"/>
        <v>56930</v>
      </c>
      <c r="H62" s="449">
        <v>29603</v>
      </c>
      <c r="I62" s="450">
        <v>26620</v>
      </c>
      <c r="J62" s="449">
        <v>4470</v>
      </c>
      <c r="K62" s="450">
        <v>4300</v>
      </c>
      <c r="L62" s="449">
        <v>21758</v>
      </c>
      <c r="M62" s="449">
        <v>0</v>
      </c>
      <c r="N62" s="449">
        <v>0</v>
      </c>
      <c r="O62" s="455">
        <v>26010</v>
      </c>
      <c r="P62" s="450">
        <v>0</v>
      </c>
      <c r="Q62" s="450">
        <v>0</v>
      </c>
      <c r="R62" s="449">
        <v>0</v>
      </c>
      <c r="S62" s="450">
        <v>0</v>
      </c>
      <c r="T62" s="447">
        <f t="shared" si="2"/>
        <v>0</v>
      </c>
      <c r="U62" s="448">
        <f t="shared" si="3"/>
        <v>0</v>
      </c>
      <c r="V62" s="449"/>
      <c r="W62" s="450"/>
      <c r="X62" s="449"/>
      <c r="Y62" s="450"/>
      <c r="Z62" s="449"/>
      <c r="AA62" s="449"/>
      <c r="AB62" s="449"/>
      <c r="AC62" s="450"/>
      <c r="AD62" s="450"/>
      <c r="AE62" s="450"/>
      <c r="AF62" s="449"/>
      <c r="AG62" s="450"/>
    </row>
    <row r="63" spans="1:33">
      <c r="A63" s="92" t="s">
        <v>81</v>
      </c>
      <c r="B63" s="453" t="s">
        <v>99</v>
      </c>
      <c r="C63" s="7"/>
      <c r="D63" s="10">
        <v>106625</v>
      </c>
      <c r="E63" s="457">
        <v>10</v>
      </c>
      <c r="F63" s="447">
        <f t="shared" si="0"/>
        <v>36408</v>
      </c>
      <c r="G63" s="448">
        <f t="shared" si="1"/>
        <v>36727</v>
      </c>
      <c r="H63" s="449">
        <v>17580</v>
      </c>
      <c r="I63" s="450">
        <v>22875</v>
      </c>
      <c r="J63" s="449">
        <v>7400</v>
      </c>
      <c r="K63" s="450">
        <v>1986</v>
      </c>
      <c r="L63" s="449">
        <v>10401</v>
      </c>
      <c r="M63" s="449">
        <v>1027</v>
      </c>
      <c r="N63" s="449">
        <v>0</v>
      </c>
      <c r="O63" s="458">
        <v>10848</v>
      </c>
      <c r="P63" s="450">
        <v>1018</v>
      </c>
      <c r="Q63" s="450">
        <v>0</v>
      </c>
      <c r="R63" s="449">
        <v>0</v>
      </c>
      <c r="S63" s="450">
        <v>0</v>
      </c>
      <c r="T63" s="447">
        <f t="shared" si="2"/>
        <v>0</v>
      </c>
      <c r="U63" s="448">
        <f t="shared" si="3"/>
        <v>0</v>
      </c>
      <c r="V63" s="449"/>
      <c r="W63" s="450"/>
      <c r="X63" s="449"/>
      <c r="Y63" s="450"/>
      <c r="Z63" s="449"/>
      <c r="AA63" s="449"/>
      <c r="AB63" s="449"/>
      <c r="AC63" s="450"/>
      <c r="AD63" s="450"/>
      <c r="AE63" s="450"/>
      <c r="AF63" s="449"/>
      <c r="AG63" s="450"/>
    </row>
    <row r="64" spans="1:33">
      <c r="A64" s="92" t="s">
        <v>81</v>
      </c>
      <c r="B64" s="453" t="s">
        <v>100</v>
      </c>
      <c r="C64" s="7"/>
      <c r="D64" s="10">
        <v>106795</v>
      </c>
      <c r="E64" s="457">
        <v>10</v>
      </c>
      <c r="F64" s="447">
        <f t="shared" si="0"/>
        <v>27222</v>
      </c>
      <c r="G64" s="448">
        <f t="shared" si="1"/>
        <v>27631</v>
      </c>
      <c r="H64" s="449">
        <v>6431</v>
      </c>
      <c r="I64" s="450">
        <v>5959</v>
      </c>
      <c r="J64" s="449">
        <v>9389</v>
      </c>
      <c r="K64" s="450">
        <v>9744</v>
      </c>
      <c r="L64" s="449">
        <v>8488</v>
      </c>
      <c r="M64" s="449">
        <v>2914</v>
      </c>
      <c r="N64" s="449">
        <v>0</v>
      </c>
      <c r="O64" s="455">
        <v>9479</v>
      </c>
      <c r="P64" s="450">
        <v>2449</v>
      </c>
      <c r="Q64" s="450">
        <v>0</v>
      </c>
      <c r="R64" s="449">
        <v>0</v>
      </c>
      <c r="S64" s="450">
        <v>0</v>
      </c>
      <c r="T64" s="447">
        <f t="shared" si="2"/>
        <v>0</v>
      </c>
      <c r="U64" s="448">
        <f t="shared" si="3"/>
        <v>0</v>
      </c>
      <c r="V64" s="449"/>
      <c r="W64" s="450"/>
      <c r="X64" s="449"/>
      <c r="Y64" s="450"/>
      <c r="Z64" s="449"/>
      <c r="AA64" s="449"/>
      <c r="AB64" s="449"/>
      <c r="AC64" s="450"/>
      <c r="AD64" s="450"/>
      <c r="AE64" s="450"/>
      <c r="AF64" s="449"/>
      <c r="AG64" s="450"/>
    </row>
    <row r="65" spans="1:33">
      <c r="A65" s="12" t="s">
        <v>81</v>
      </c>
      <c r="B65" s="453" t="s">
        <v>101</v>
      </c>
      <c r="C65" s="7"/>
      <c r="D65" s="10">
        <v>106883</v>
      </c>
      <c r="E65" s="457">
        <v>10</v>
      </c>
      <c r="F65" s="447">
        <f t="shared" si="0"/>
        <v>19730</v>
      </c>
      <c r="G65" s="448">
        <f t="shared" si="1"/>
        <v>22620</v>
      </c>
      <c r="H65" s="449">
        <v>8343</v>
      </c>
      <c r="I65" s="450">
        <v>11394</v>
      </c>
      <c r="J65" s="449">
        <v>4172</v>
      </c>
      <c r="K65" s="450">
        <v>3707</v>
      </c>
      <c r="L65" s="449">
        <v>7175</v>
      </c>
      <c r="M65" s="449">
        <v>0</v>
      </c>
      <c r="N65" s="449">
        <v>0</v>
      </c>
      <c r="O65" s="455">
        <v>7519</v>
      </c>
      <c r="P65" s="450">
        <v>0</v>
      </c>
      <c r="Q65" s="450">
        <v>0</v>
      </c>
      <c r="R65" s="449">
        <v>40</v>
      </c>
      <c r="S65" s="450">
        <v>0</v>
      </c>
      <c r="T65" s="447">
        <f t="shared" si="2"/>
        <v>0</v>
      </c>
      <c r="U65" s="448">
        <f t="shared" si="3"/>
        <v>0</v>
      </c>
      <c r="V65" s="449"/>
      <c r="W65" s="450"/>
      <c r="X65" s="449"/>
      <c r="Y65" s="450"/>
      <c r="Z65" s="449"/>
      <c r="AA65" s="449"/>
      <c r="AB65" s="449"/>
      <c r="AC65" s="450"/>
      <c r="AD65" s="450"/>
      <c r="AE65" s="450"/>
      <c r="AF65" s="449"/>
      <c r="AG65" s="450"/>
    </row>
    <row r="66" spans="1:33">
      <c r="A66" s="12" t="s">
        <v>81</v>
      </c>
      <c r="B66" s="9" t="s">
        <v>94</v>
      </c>
      <c r="C66" s="5"/>
      <c r="D66" s="11">
        <v>106980</v>
      </c>
      <c r="E66" s="457">
        <v>10</v>
      </c>
      <c r="F66" s="447">
        <f t="shared" si="0"/>
        <v>55918</v>
      </c>
      <c r="G66" s="448">
        <f t="shared" si="1"/>
        <v>54992</v>
      </c>
      <c r="H66" s="449">
        <v>49585</v>
      </c>
      <c r="I66" s="450">
        <v>36647</v>
      </c>
      <c r="J66" s="449">
        <v>5002</v>
      </c>
      <c r="K66" s="450">
        <v>4928</v>
      </c>
      <c r="L66" s="449">
        <v>0</v>
      </c>
      <c r="M66" s="449">
        <v>0</v>
      </c>
      <c r="N66" s="449">
        <v>0</v>
      </c>
      <c r="O66" s="455">
        <v>13417</v>
      </c>
      <c r="P66" s="450">
        <v>0</v>
      </c>
      <c r="Q66" s="450">
        <v>0</v>
      </c>
      <c r="R66" s="449">
        <v>1331</v>
      </c>
      <c r="S66" s="450">
        <v>0</v>
      </c>
      <c r="T66" s="447">
        <f t="shared" si="2"/>
        <v>0</v>
      </c>
      <c r="U66" s="448">
        <f t="shared" si="3"/>
        <v>0</v>
      </c>
      <c r="V66" s="449"/>
      <c r="W66" s="450"/>
      <c r="X66" s="449"/>
      <c r="Y66" s="450"/>
      <c r="Z66" s="449"/>
      <c r="AA66" s="449"/>
      <c r="AB66" s="449"/>
      <c r="AC66" s="450"/>
      <c r="AD66" s="450"/>
      <c r="AE66" s="450"/>
      <c r="AF66" s="449"/>
      <c r="AG66" s="450"/>
    </row>
    <row r="67" spans="1:33">
      <c r="A67" s="12" t="s">
        <v>81</v>
      </c>
      <c r="B67" s="453" t="s">
        <v>102</v>
      </c>
      <c r="C67" s="7"/>
      <c r="D67" s="10">
        <v>107460</v>
      </c>
      <c r="E67" s="457">
        <v>10</v>
      </c>
      <c r="F67" s="447">
        <f t="shared" si="0"/>
        <v>40362</v>
      </c>
      <c r="G67" s="448">
        <f t="shared" si="1"/>
        <v>38783</v>
      </c>
      <c r="H67" s="449">
        <v>27926</v>
      </c>
      <c r="I67" s="450">
        <v>27168</v>
      </c>
      <c r="J67" s="449">
        <v>1280</v>
      </c>
      <c r="K67" s="450">
        <v>757</v>
      </c>
      <c r="L67" s="449">
        <v>11041</v>
      </c>
      <c r="M67" s="449">
        <v>112</v>
      </c>
      <c r="N67" s="449">
        <v>0</v>
      </c>
      <c r="O67" s="455">
        <v>10625</v>
      </c>
      <c r="P67" s="450">
        <v>233</v>
      </c>
      <c r="Q67" s="450">
        <v>0</v>
      </c>
      <c r="R67" s="449">
        <v>3</v>
      </c>
      <c r="S67" s="450">
        <v>0</v>
      </c>
      <c r="T67" s="447">
        <f t="shared" si="2"/>
        <v>0</v>
      </c>
      <c r="U67" s="448">
        <f t="shared" si="3"/>
        <v>0</v>
      </c>
      <c r="V67" s="449"/>
      <c r="W67" s="450"/>
      <c r="X67" s="449"/>
      <c r="Y67" s="450"/>
      <c r="Z67" s="449"/>
      <c r="AA67" s="449"/>
      <c r="AB67" s="449"/>
      <c r="AC67" s="450"/>
      <c r="AD67" s="450"/>
      <c r="AE67" s="450"/>
      <c r="AF67" s="449"/>
      <c r="AG67" s="450"/>
    </row>
    <row r="68" spans="1:33">
      <c r="A68" s="12" t="s">
        <v>81</v>
      </c>
      <c r="B68" s="453" t="s">
        <v>103</v>
      </c>
      <c r="C68" s="7"/>
      <c r="D68" s="10">
        <v>107549</v>
      </c>
      <c r="E68" s="457">
        <v>10</v>
      </c>
      <c r="F68" s="447">
        <f t="shared" si="0"/>
        <v>23859</v>
      </c>
      <c r="G68" s="448">
        <f t="shared" si="1"/>
        <v>23629</v>
      </c>
      <c r="H68" s="449">
        <v>12020</v>
      </c>
      <c r="I68" s="450">
        <v>10118</v>
      </c>
      <c r="J68" s="449">
        <v>1543</v>
      </c>
      <c r="K68" s="450">
        <v>2173</v>
      </c>
      <c r="L68" s="449">
        <v>10296</v>
      </c>
      <c r="M68" s="449">
        <v>0</v>
      </c>
      <c r="N68" s="449">
        <v>0</v>
      </c>
      <c r="O68" s="455">
        <v>11338</v>
      </c>
      <c r="P68" s="450">
        <v>0</v>
      </c>
      <c r="Q68" s="450">
        <v>0</v>
      </c>
      <c r="R68" s="449">
        <v>0</v>
      </c>
      <c r="S68" s="450">
        <v>0</v>
      </c>
      <c r="T68" s="447">
        <f t="shared" si="2"/>
        <v>0</v>
      </c>
      <c r="U68" s="448">
        <f t="shared" si="3"/>
        <v>0</v>
      </c>
      <c r="V68" s="449"/>
      <c r="W68" s="450"/>
      <c r="X68" s="449"/>
      <c r="Y68" s="450"/>
      <c r="Z68" s="449"/>
      <c r="AA68" s="449"/>
      <c r="AB68" s="449"/>
      <c r="AC68" s="450"/>
      <c r="AD68" s="450"/>
      <c r="AE68" s="450"/>
      <c r="AF68" s="449"/>
      <c r="AG68" s="450"/>
    </row>
    <row r="69" spans="1:33">
      <c r="A69" s="12" t="s">
        <v>81</v>
      </c>
      <c r="B69" s="453" t="s">
        <v>104</v>
      </c>
      <c r="C69" s="7"/>
      <c r="D69" s="10">
        <v>107619</v>
      </c>
      <c r="E69" s="457">
        <v>10</v>
      </c>
      <c r="F69" s="447">
        <f t="shared" si="0"/>
        <v>28154</v>
      </c>
      <c r="G69" s="448">
        <f t="shared" si="1"/>
        <v>27464</v>
      </c>
      <c r="H69" s="449">
        <v>15284</v>
      </c>
      <c r="I69" s="450">
        <v>16235</v>
      </c>
      <c r="J69" s="449">
        <v>6786</v>
      </c>
      <c r="K69" s="450">
        <v>5197</v>
      </c>
      <c r="L69" s="449">
        <v>3480</v>
      </c>
      <c r="M69" s="449">
        <v>2604</v>
      </c>
      <c r="N69" s="449">
        <v>0</v>
      </c>
      <c r="O69" s="455">
        <v>3717</v>
      </c>
      <c r="P69" s="450">
        <v>2315</v>
      </c>
      <c r="Q69" s="450">
        <v>0</v>
      </c>
      <c r="R69" s="449">
        <v>0</v>
      </c>
      <c r="S69" s="450">
        <v>0</v>
      </c>
      <c r="T69" s="447">
        <f t="shared" si="2"/>
        <v>0</v>
      </c>
      <c r="U69" s="448">
        <f t="shared" si="3"/>
        <v>0</v>
      </c>
      <c r="V69" s="449"/>
      <c r="W69" s="450"/>
      <c r="X69" s="449"/>
      <c r="Y69" s="450"/>
      <c r="Z69" s="449"/>
      <c r="AA69" s="449"/>
      <c r="AB69" s="449"/>
      <c r="AC69" s="450"/>
      <c r="AD69" s="450"/>
      <c r="AE69" s="450"/>
      <c r="AF69" s="449"/>
      <c r="AG69" s="450"/>
    </row>
    <row r="70" spans="1:33">
      <c r="A70" s="12" t="s">
        <v>81</v>
      </c>
      <c r="B70" s="453" t="s">
        <v>105</v>
      </c>
      <c r="C70" s="7"/>
      <c r="D70" s="10">
        <v>107974</v>
      </c>
      <c r="E70" s="457">
        <v>10</v>
      </c>
      <c r="F70" s="447">
        <f t="shared" si="0"/>
        <v>31595</v>
      </c>
      <c r="G70" s="448">
        <f t="shared" si="1"/>
        <v>31419</v>
      </c>
      <c r="H70" s="449">
        <v>16962</v>
      </c>
      <c r="I70" s="450">
        <v>15477</v>
      </c>
      <c r="J70" s="449">
        <v>4666</v>
      </c>
      <c r="K70" s="450">
        <v>5696</v>
      </c>
      <c r="L70" s="449">
        <v>9967</v>
      </c>
      <c r="M70" s="449">
        <v>0</v>
      </c>
      <c r="N70" s="449">
        <v>0</v>
      </c>
      <c r="O70" s="455">
        <v>10246</v>
      </c>
      <c r="P70" s="450">
        <v>0</v>
      </c>
      <c r="Q70" s="450">
        <v>0</v>
      </c>
      <c r="R70" s="449">
        <v>0</v>
      </c>
      <c r="S70" s="450">
        <v>0</v>
      </c>
      <c r="T70" s="447">
        <f t="shared" si="2"/>
        <v>0</v>
      </c>
      <c r="U70" s="448">
        <f t="shared" si="3"/>
        <v>0</v>
      </c>
      <c r="V70" s="449"/>
      <c r="W70" s="450"/>
      <c r="X70" s="449"/>
      <c r="Y70" s="450"/>
      <c r="Z70" s="449"/>
      <c r="AA70" s="449"/>
      <c r="AB70" s="449"/>
      <c r="AC70" s="450"/>
      <c r="AD70" s="450"/>
      <c r="AE70" s="450"/>
      <c r="AF70" s="449"/>
      <c r="AG70" s="450"/>
    </row>
    <row r="71" spans="1:33">
      <c r="A71" s="92" t="s">
        <v>81</v>
      </c>
      <c r="B71" s="453" t="s">
        <v>106</v>
      </c>
      <c r="C71" s="7"/>
      <c r="D71" s="10">
        <v>107637</v>
      </c>
      <c r="E71" s="457">
        <v>10</v>
      </c>
      <c r="F71" s="447">
        <f t="shared" ref="F71:F77" si="4">SUM(H71,J71,L71,M71,N71,R71)</f>
        <v>25740</v>
      </c>
      <c r="G71" s="448">
        <f t="shared" ref="G71:G77" si="5">SUM(I71,K71,O71,P71,Q71,S71)</f>
        <v>24902</v>
      </c>
      <c r="H71" s="449">
        <v>20134</v>
      </c>
      <c r="I71" s="450">
        <v>18053</v>
      </c>
      <c r="J71" s="449">
        <v>847</v>
      </c>
      <c r="K71" s="450">
        <v>1237</v>
      </c>
      <c r="L71" s="449">
        <v>4759</v>
      </c>
      <c r="M71" s="449">
        <v>0</v>
      </c>
      <c r="N71" s="449">
        <v>0</v>
      </c>
      <c r="O71" s="455">
        <v>5612</v>
      </c>
      <c r="P71" s="450">
        <v>0</v>
      </c>
      <c r="Q71" s="450">
        <v>0</v>
      </c>
      <c r="R71" s="449">
        <v>0</v>
      </c>
      <c r="S71" s="450">
        <v>0</v>
      </c>
      <c r="T71" s="447">
        <f t="shared" ref="T71:T77" si="6">SUM(V71,X71,Z71,AA71,AB71,AF71)</f>
        <v>0</v>
      </c>
      <c r="U71" s="448">
        <f t="shared" ref="U71:U77" si="7">SUM(W71,Y71,AC71,AD71,AE71,AG71)</f>
        <v>0</v>
      </c>
      <c r="V71" s="449"/>
      <c r="W71" s="450"/>
      <c r="X71" s="449"/>
      <c r="Y71" s="450"/>
      <c r="Z71" s="449"/>
      <c r="AA71" s="449"/>
      <c r="AB71" s="449"/>
      <c r="AC71" s="450"/>
      <c r="AD71" s="450"/>
      <c r="AE71" s="450"/>
      <c r="AF71" s="449"/>
      <c r="AG71" s="450"/>
    </row>
    <row r="72" spans="1:33">
      <c r="A72" s="92" t="s">
        <v>81</v>
      </c>
      <c r="B72" s="453" t="s">
        <v>107</v>
      </c>
      <c r="C72" s="7"/>
      <c r="D72" s="10">
        <v>107992</v>
      </c>
      <c r="E72" s="457">
        <v>10</v>
      </c>
      <c r="F72" s="447">
        <f t="shared" si="4"/>
        <v>31226</v>
      </c>
      <c r="G72" s="448">
        <f t="shared" si="5"/>
        <v>28429</v>
      </c>
      <c r="H72" s="449">
        <v>12347</v>
      </c>
      <c r="I72" s="450">
        <v>11278</v>
      </c>
      <c r="J72" s="449">
        <v>12807</v>
      </c>
      <c r="K72" s="450">
        <v>10363</v>
      </c>
      <c r="L72" s="449">
        <v>6072</v>
      </c>
      <c r="M72" s="449">
        <v>0</v>
      </c>
      <c r="N72" s="449">
        <v>0</v>
      </c>
      <c r="O72" s="455">
        <v>6788</v>
      </c>
      <c r="P72" s="450">
        <v>0</v>
      </c>
      <c r="Q72" s="450">
        <v>0</v>
      </c>
      <c r="R72" s="449">
        <v>0</v>
      </c>
      <c r="S72" s="450">
        <v>0</v>
      </c>
      <c r="T72" s="447">
        <f t="shared" si="6"/>
        <v>0</v>
      </c>
      <c r="U72" s="448">
        <f t="shared" si="7"/>
        <v>0</v>
      </c>
      <c r="V72" s="449"/>
      <c r="W72" s="450"/>
      <c r="X72" s="449"/>
      <c r="Y72" s="450"/>
      <c r="Z72" s="449"/>
      <c r="AA72" s="449"/>
      <c r="AB72" s="449"/>
      <c r="AC72" s="450"/>
      <c r="AD72" s="450"/>
      <c r="AE72" s="450"/>
      <c r="AF72" s="449"/>
      <c r="AG72" s="450"/>
    </row>
    <row r="73" spans="1:33">
      <c r="A73" s="92" t="s">
        <v>81</v>
      </c>
      <c r="B73" s="453" t="s">
        <v>108</v>
      </c>
      <c r="C73" s="7"/>
      <c r="D73" s="10">
        <v>106999</v>
      </c>
      <c r="E73" s="457">
        <v>10</v>
      </c>
      <c r="F73" s="447">
        <f t="shared" si="4"/>
        <v>26664</v>
      </c>
      <c r="G73" s="448">
        <f t="shared" si="5"/>
        <v>28645</v>
      </c>
      <c r="H73" s="449">
        <v>17420</v>
      </c>
      <c r="I73" s="450">
        <v>18296</v>
      </c>
      <c r="J73" s="449">
        <v>1229</v>
      </c>
      <c r="K73" s="450">
        <v>1397</v>
      </c>
      <c r="L73" s="449">
        <v>8015</v>
      </c>
      <c r="M73" s="449">
        <v>0</v>
      </c>
      <c r="N73" s="449">
        <v>0</v>
      </c>
      <c r="O73" s="455">
        <v>8952</v>
      </c>
      <c r="P73" s="450">
        <v>0</v>
      </c>
      <c r="Q73" s="450">
        <v>0</v>
      </c>
      <c r="R73" s="449">
        <v>0</v>
      </c>
      <c r="S73" s="450">
        <v>0</v>
      </c>
      <c r="T73" s="447">
        <f t="shared" si="6"/>
        <v>0</v>
      </c>
      <c r="U73" s="448">
        <f t="shared" si="7"/>
        <v>0</v>
      </c>
      <c r="V73" s="449"/>
      <c r="W73" s="450"/>
      <c r="X73" s="449"/>
      <c r="Y73" s="450"/>
      <c r="Z73" s="449"/>
      <c r="AA73" s="449"/>
      <c r="AB73" s="449"/>
      <c r="AC73" s="450"/>
      <c r="AD73" s="450"/>
      <c r="AE73" s="450"/>
      <c r="AF73" s="449"/>
      <c r="AG73" s="450"/>
    </row>
    <row r="74" spans="1:33">
      <c r="A74" s="12" t="s">
        <v>81</v>
      </c>
      <c r="B74" s="453" t="s">
        <v>791</v>
      </c>
      <c r="C74" s="7"/>
      <c r="D74" s="10">
        <v>107725</v>
      </c>
      <c r="E74" s="457">
        <v>10</v>
      </c>
      <c r="F74" s="447">
        <f t="shared" si="4"/>
        <v>31513</v>
      </c>
      <c r="G74" s="448">
        <f t="shared" si="5"/>
        <v>29434</v>
      </c>
      <c r="H74" s="449">
        <v>14298</v>
      </c>
      <c r="I74" s="450">
        <v>13219</v>
      </c>
      <c r="J74" s="449">
        <v>8659</v>
      </c>
      <c r="K74" s="450">
        <v>8402</v>
      </c>
      <c r="L74" s="449">
        <v>5789</v>
      </c>
      <c r="M74" s="449">
        <v>2767</v>
      </c>
      <c r="N74" s="449">
        <v>0</v>
      </c>
      <c r="O74" s="455">
        <v>5641</v>
      </c>
      <c r="P74" s="450">
        <v>2172</v>
      </c>
      <c r="Q74" s="450">
        <v>0</v>
      </c>
      <c r="R74" s="449">
        <v>0</v>
      </c>
      <c r="S74" s="450">
        <v>0</v>
      </c>
      <c r="T74" s="447">
        <f t="shared" si="6"/>
        <v>0</v>
      </c>
      <c r="U74" s="448">
        <f t="shared" si="7"/>
        <v>0</v>
      </c>
      <c r="V74" s="449"/>
      <c r="W74" s="450"/>
      <c r="X74" s="449"/>
      <c r="Y74" s="450"/>
      <c r="Z74" s="449"/>
      <c r="AA74" s="449"/>
      <c r="AB74" s="449"/>
      <c r="AC74" s="450"/>
      <c r="AD74" s="450"/>
      <c r="AE74" s="450"/>
      <c r="AF74" s="449"/>
      <c r="AG74" s="450"/>
    </row>
    <row r="75" spans="1:33">
      <c r="A75" s="92" t="s">
        <v>81</v>
      </c>
      <c r="B75" s="453" t="s">
        <v>109</v>
      </c>
      <c r="C75" s="7"/>
      <c r="D75" s="10">
        <v>107585</v>
      </c>
      <c r="E75" s="457">
        <v>10</v>
      </c>
      <c r="F75" s="447">
        <f t="shared" si="4"/>
        <v>43685</v>
      </c>
      <c r="G75" s="448">
        <f t="shared" si="5"/>
        <v>42425</v>
      </c>
      <c r="H75" s="449">
        <v>37959</v>
      </c>
      <c r="I75" s="450">
        <v>35328</v>
      </c>
      <c r="J75" s="449">
        <v>0</v>
      </c>
      <c r="K75" s="450">
        <v>87</v>
      </c>
      <c r="L75" s="449">
        <v>5726</v>
      </c>
      <c r="M75" s="449">
        <v>0</v>
      </c>
      <c r="N75" s="449">
        <v>0</v>
      </c>
      <c r="O75" s="455">
        <v>7010</v>
      </c>
      <c r="P75" s="450">
        <v>0</v>
      </c>
      <c r="Q75" s="450">
        <v>0</v>
      </c>
      <c r="R75" s="449">
        <v>0</v>
      </c>
      <c r="S75" s="450">
        <v>0</v>
      </c>
      <c r="T75" s="447">
        <f t="shared" si="6"/>
        <v>0</v>
      </c>
      <c r="U75" s="448">
        <f t="shared" si="7"/>
        <v>0</v>
      </c>
      <c r="V75" s="449"/>
      <c r="W75" s="450"/>
      <c r="X75" s="449"/>
      <c r="Y75" s="450"/>
      <c r="Z75" s="449"/>
      <c r="AA75" s="449"/>
      <c r="AB75" s="449"/>
      <c r="AC75" s="450"/>
      <c r="AD75" s="450"/>
      <c r="AE75" s="450"/>
      <c r="AF75" s="449"/>
      <c r="AG75" s="450"/>
    </row>
    <row r="76" spans="1:33">
      <c r="A76" s="12" t="s">
        <v>81</v>
      </c>
      <c r="B76" s="453" t="s">
        <v>758</v>
      </c>
      <c r="C76" s="7"/>
      <c r="D76" s="10">
        <v>107743</v>
      </c>
      <c r="E76" s="457">
        <v>10</v>
      </c>
      <c r="F76" s="447">
        <f t="shared" si="4"/>
        <v>16703</v>
      </c>
      <c r="G76" s="448">
        <f t="shared" si="5"/>
        <v>15657</v>
      </c>
      <c r="H76" s="449">
        <v>10229</v>
      </c>
      <c r="I76" s="450">
        <v>9875</v>
      </c>
      <c r="J76" s="449">
        <v>2741</v>
      </c>
      <c r="K76" s="450">
        <v>2085</v>
      </c>
      <c r="L76" s="449">
        <v>3331</v>
      </c>
      <c r="M76" s="449">
        <v>402</v>
      </c>
      <c r="N76" s="449">
        <v>0</v>
      </c>
      <c r="O76" s="455">
        <v>3562</v>
      </c>
      <c r="P76" s="450">
        <v>135</v>
      </c>
      <c r="Q76" s="450">
        <v>0</v>
      </c>
      <c r="R76" s="449">
        <v>0</v>
      </c>
      <c r="S76" s="450">
        <v>0</v>
      </c>
      <c r="T76" s="447">
        <f t="shared" si="6"/>
        <v>0</v>
      </c>
      <c r="U76" s="448">
        <f t="shared" si="7"/>
        <v>0</v>
      </c>
      <c r="V76" s="449"/>
      <c r="W76" s="450"/>
      <c r="X76" s="449"/>
      <c r="Y76" s="450"/>
      <c r="Z76" s="449"/>
      <c r="AA76" s="449"/>
      <c r="AB76" s="449"/>
      <c r="AC76" s="450"/>
      <c r="AD76" s="450"/>
      <c r="AE76" s="450"/>
      <c r="AF76" s="449"/>
      <c r="AG76" s="450"/>
    </row>
    <row r="77" spans="1:33">
      <c r="A77" s="12" t="s">
        <v>81</v>
      </c>
      <c r="B77" s="453" t="s">
        <v>110</v>
      </c>
      <c r="C77" s="7"/>
      <c r="D77" s="11">
        <v>106263</v>
      </c>
      <c r="E77" s="454">
        <v>15</v>
      </c>
      <c r="F77" s="447">
        <f t="shared" si="4"/>
        <v>17308</v>
      </c>
      <c r="G77" s="448">
        <f t="shared" si="5"/>
        <v>19976</v>
      </c>
      <c r="H77" s="449">
        <v>11248</v>
      </c>
      <c r="I77" s="450">
        <v>11154</v>
      </c>
      <c r="J77" s="449">
        <v>782</v>
      </c>
      <c r="K77" s="450">
        <v>3501</v>
      </c>
      <c r="L77" s="449">
        <v>4138</v>
      </c>
      <c r="M77" s="449">
        <v>1140</v>
      </c>
      <c r="N77" s="449">
        <v>0</v>
      </c>
      <c r="O77" s="455">
        <v>4246</v>
      </c>
      <c r="P77" s="450">
        <v>1075</v>
      </c>
      <c r="Q77" s="450">
        <v>0</v>
      </c>
      <c r="R77" s="449">
        <v>0</v>
      </c>
      <c r="S77" s="450">
        <v>0</v>
      </c>
      <c r="T77" s="447">
        <f t="shared" si="6"/>
        <v>0</v>
      </c>
      <c r="U77" s="448">
        <f t="shared" si="7"/>
        <v>65678</v>
      </c>
      <c r="V77" s="449"/>
      <c r="W77" s="450">
        <v>54290</v>
      </c>
      <c r="X77" s="449"/>
      <c r="Y77" s="450">
        <v>3619</v>
      </c>
      <c r="Z77" s="449"/>
      <c r="AA77" s="449"/>
      <c r="AB77" s="449"/>
      <c r="AC77" s="450">
        <v>7769</v>
      </c>
      <c r="AD77" s="450"/>
      <c r="AE77" s="450"/>
      <c r="AF77" s="449">
        <v>0</v>
      </c>
      <c r="AG77" s="450"/>
    </row>
    <row r="78" spans="1:33">
      <c r="A78" s="3" t="s">
        <v>111</v>
      </c>
      <c r="B78" s="2" t="s">
        <v>112</v>
      </c>
      <c r="C78" s="1"/>
      <c r="D78" s="62">
        <v>130943</v>
      </c>
      <c r="E78" s="62">
        <v>1</v>
      </c>
      <c r="F78" s="447">
        <f>SUM(H78,J78,L78,M78,N78,R78)</f>
        <v>593876</v>
      </c>
      <c r="G78" s="448">
        <f>SUM(I78,K78,O78,P78,Q78,S78)</f>
        <v>599291</v>
      </c>
      <c r="H78" s="449">
        <v>570897</v>
      </c>
      <c r="I78" s="450">
        <v>574308</v>
      </c>
      <c r="J78" s="449"/>
      <c r="K78" s="450"/>
      <c r="L78" s="449">
        <v>22979</v>
      </c>
      <c r="M78" s="449">
        <v>0</v>
      </c>
      <c r="N78" s="449">
        <v>0</v>
      </c>
      <c r="O78" s="450">
        <v>24983</v>
      </c>
      <c r="P78" s="450">
        <v>0</v>
      </c>
      <c r="Q78" s="450">
        <v>0</v>
      </c>
      <c r="R78" s="449"/>
      <c r="S78" s="450"/>
      <c r="T78" s="447">
        <f>SUM(V78,X78,Z78,AA78,AB78,AF78)</f>
        <v>73413</v>
      </c>
      <c r="U78" s="448">
        <f>SUM(W78,Y78,AC78,AD78,AE78,AG78)</f>
        <v>75200</v>
      </c>
      <c r="V78" s="449">
        <v>63260</v>
      </c>
      <c r="W78" s="450">
        <v>64007</v>
      </c>
      <c r="X78" s="449"/>
      <c r="Y78" s="450"/>
      <c r="Z78" s="449">
        <v>10153</v>
      </c>
      <c r="AA78" s="449">
        <v>0</v>
      </c>
      <c r="AB78" s="449">
        <v>0</v>
      </c>
      <c r="AC78" s="450">
        <v>11193</v>
      </c>
      <c r="AD78" s="450">
        <v>0</v>
      </c>
      <c r="AE78" s="450">
        <v>0</v>
      </c>
      <c r="AF78" s="449"/>
      <c r="AG78" s="450"/>
    </row>
    <row r="79" spans="1:33">
      <c r="A79" s="63" t="s">
        <v>111</v>
      </c>
      <c r="B79" s="2" t="s">
        <v>113</v>
      </c>
      <c r="C79" s="64"/>
      <c r="D79" s="62">
        <v>130934</v>
      </c>
      <c r="E79" s="62">
        <v>3</v>
      </c>
      <c r="F79" s="447">
        <f>SUM(H79,J79,L79,M79,N79,R79)</f>
        <v>136454</v>
      </c>
      <c r="G79" s="448">
        <f>SUM(I79,K79,O79,P79,Q79,S79)</f>
        <v>128111</v>
      </c>
      <c r="H79" s="449">
        <v>125999</v>
      </c>
      <c r="I79" s="450">
        <v>112954</v>
      </c>
      <c r="J79" s="449"/>
      <c r="K79" s="450"/>
      <c r="L79" s="449">
        <v>10455</v>
      </c>
      <c r="M79" s="449">
        <v>0</v>
      </c>
      <c r="N79" s="449">
        <v>0</v>
      </c>
      <c r="O79" s="450">
        <v>15157</v>
      </c>
      <c r="P79" s="450">
        <v>0</v>
      </c>
      <c r="Q79" s="450">
        <v>0</v>
      </c>
      <c r="R79" s="449"/>
      <c r="S79" s="450"/>
      <c r="T79" s="447">
        <f>SUM(V79,X79,Z79,AA79,AB79,AF79)</f>
        <v>6332</v>
      </c>
      <c r="U79" s="448">
        <f>SUM(W79,Y79,AC79,AD79,AE79,AG79)</f>
        <v>7243</v>
      </c>
      <c r="V79" s="449">
        <v>4901</v>
      </c>
      <c r="W79" s="450">
        <v>4900</v>
      </c>
      <c r="X79" s="449"/>
      <c r="Y79" s="450"/>
      <c r="Z79" s="449">
        <v>1431</v>
      </c>
      <c r="AA79" s="449">
        <v>0</v>
      </c>
      <c r="AB79" s="449">
        <v>0</v>
      </c>
      <c r="AC79" s="450">
        <v>2343</v>
      </c>
      <c r="AD79" s="450">
        <v>0</v>
      </c>
      <c r="AE79" s="450">
        <v>0</v>
      </c>
      <c r="AF79" s="449"/>
      <c r="AG79" s="450"/>
    </row>
    <row r="80" spans="1:33" s="27" customFormat="1" ht="13.5" customHeight="1">
      <c r="A80" s="63" t="s">
        <v>111</v>
      </c>
      <c r="B80" s="106" t="s">
        <v>114</v>
      </c>
      <c r="C80" s="66" t="s">
        <v>792</v>
      </c>
      <c r="D80" s="459">
        <v>130907</v>
      </c>
      <c r="E80" s="459">
        <v>9</v>
      </c>
      <c r="F80" s="447">
        <f>SUM(H80,J80,L80,M80,N80,R80)</f>
        <v>270379</v>
      </c>
      <c r="G80" s="448">
        <f>SUM(I80,K80,O80,P80,Q80,S80)</f>
        <v>259787</v>
      </c>
      <c r="H80" s="449">
        <v>217348</v>
      </c>
      <c r="I80" s="450">
        <v>204897</v>
      </c>
      <c r="J80" s="449"/>
      <c r="K80" s="450"/>
      <c r="L80" s="449">
        <v>51446</v>
      </c>
      <c r="M80" s="449">
        <v>1028</v>
      </c>
      <c r="N80" s="449">
        <v>557</v>
      </c>
      <c r="O80" s="450">
        <v>53543</v>
      </c>
      <c r="P80" s="450">
        <v>865</v>
      </c>
      <c r="Q80" s="450">
        <v>482</v>
      </c>
      <c r="R80" s="449"/>
      <c r="S80" s="450"/>
      <c r="T80" s="447">
        <f>SUM(V80,X80,Z80,AA80,AB80,AF80)</f>
        <v>0</v>
      </c>
      <c r="U80" s="448">
        <f>SUM(W80,Y80,AC80,AD80,AE80,AG80)</f>
        <v>0</v>
      </c>
      <c r="V80" s="449"/>
      <c r="W80" s="450"/>
      <c r="X80" s="449"/>
      <c r="Y80" s="450"/>
      <c r="Z80" s="449"/>
      <c r="AA80" s="449"/>
      <c r="AB80" s="449"/>
      <c r="AC80" s="450"/>
      <c r="AD80" s="450"/>
      <c r="AE80" s="450"/>
      <c r="AF80" s="449"/>
      <c r="AG80" s="450"/>
    </row>
    <row r="81" spans="1:33">
      <c r="A81" s="67" t="s">
        <v>115</v>
      </c>
      <c r="B81" s="68"/>
      <c r="C81" s="133"/>
      <c r="D81" s="70"/>
      <c r="E81" s="70"/>
      <c r="G81" s="56"/>
      <c r="I81" s="56"/>
      <c r="M81" s="56"/>
      <c r="N81" s="56"/>
      <c r="O81" s="56"/>
      <c r="Q81" s="56"/>
      <c r="S81" s="56"/>
      <c r="U81" s="56"/>
      <c r="W81" s="56"/>
      <c r="AA81" s="56"/>
      <c r="AB81" s="56"/>
      <c r="AC81" s="56"/>
      <c r="AE81" s="56"/>
    </row>
    <row r="82" spans="1:33">
      <c r="A82" s="71" t="s">
        <v>115</v>
      </c>
      <c r="B82" s="72" t="s">
        <v>116</v>
      </c>
      <c r="C82" s="76"/>
      <c r="D82" s="74">
        <v>132693</v>
      </c>
      <c r="E82" s="78">
        <v>7</v>
      </c>
      <c r="F82" s="447">
        <f t="shared" ref="F82:F145" si="8">SUM(H82,J82,L82,M82,N82,R82)</f>
        <v>315350</v>
      </c>
      <c r="G82" s="448">
        <f t="shared" ref="G82:G145" si="9">SUM(I82,K82,O82,P82,Q82,S82)</f>
        <v>313337</v>
      </c>
      <c r="H82" s="449">
        <v>205277</v>
      </c>
      <c r="I82" s="460">
        <v>196703</v>
      </c>
      <c r="J82" s="449">
        <v>6589</v>
      </c>
      <c r="K82" s="460">
        <v>5845</v>
      </c>
      <c r="L82" s="449">
        <v>103484</v>
      </c>
      <c r="M82" s="449">
        <v>0</v>
      </c>
      <c r="N82" s="449">
        <v>0</v>
      </c>
      <c r="O82" s="460">
        <v>110789</v>
      </c>
      <c r="P82" s="460">
        <v>0</v>
      </c>
      <c r="Q82" s="460">
        <v>0</v>
      </c>
      <c r="R82" s="449">
        <v>0</v>
      </c>
      <c r="S82" s="460">
        <v>0</v>
      </c>
      <c r="T82" s="447">
        <f t="shared" ref="T82:T145" si="10">SUM(V82,X82,Z82,AA82,AB82,AF82)</f>
        <v>0</v>
      </c>
      <c r="U82" s="448">
        <f t="shared" ref="U82:U145" si="11">SUM(W82,Y82,AC82,AD82,AE82,AG82)</f>
        <v>0</v>
      </c>
      <c r="V82" s="449"/>
      <c r="W82" s="450"/>
      <c r="X82" s="449"/>
      <c r="Y82" s="450"/>
      <c r="Z82" s="449"/>
      <c r="AA82" s="449"/>
      <c r="AB82" s="449"/>
      <c r="AC82" s="450"/>
      <c r="AD82" s="450"/>
      <c r="AE82" s="450"/>
      <c r="AF82" s="449"/>
      <c r="AG82" s="450"/>
    </row>
    <row r="83" spans="1:33">
      <c r="A83" s="71" t="s">
        <v>115</v>
      </c>
      <c r="B83" s="72" t="s">
        <v>117</v>
      </c>
      <c r="C83" s="75"/>
      <c r="D83" s="74">
        <v>132709</v>
      </c>
      <c r="E83" s="78">
        <v>7</v>
      </c>
      <c r="F83" s="447">
        <f t="shared" si="8"/>
        <v>846913</v>
      </c>
      <c r="G83" s="448">
        <f t="shared" si="9"/>
        <v>826419</v>
      </c>
      <c r="H83" s="449">
        <v>628544</v>
      </c>
      <c r="I83" s="460">
        <v>603695</v>
      </c>
      <c r="J83" s="449">
        <v>42184</v>
      </c>
      <c r="K83" s="460">
        <v>36944</v>
      </c>
      <c r="L83" s="449">
        <v>175372</v>
      </c>
      <c r="M83" s="449">
        <v>0</v>
      </c>
      <c r="N83" s="449">
        <v>813</v>
      </c>
      <c r="O83" s="460">
        <v>185483</v>
      </c>
      <c r="P83" s="460">
        <v>0</v>
      </c>
      <c r="Q83" s="460">
        <v>285</v>
      </c>
      <c r="R83" s="449">
        <v>0</v>
      </c>
      <c r="S83" s="460">
        <v>12</v>
      </c>
      <c r="T83" s="447">
        <f t="shared" si="10"/>
        <v>0</v>
      </c>
      <c r="U83" s="448">
        <f t="shared" si="11"/>
        <v>0</v>
      </c>
      <c r="V83" s="449"/>
      <c r="W83" s="450"/>
      <c r="X83" s="449"/>
      <c r="Y83" s="450"/>
      <c r="Z83" s="449"/>
      <c r="AA83" s="449"/>
      <c r="AB83" s="449"/>
      <c r="AC83" s="450"/>
      <c r="AD83" s="450"/>
      <c r="AE83" s="450"/>
      <c r="AF83" s="449"/>
      <c r="AG83" s="450"/>
    </row>
    <row r="84" spans="1:33" s="27" customFormat="1" ht="13.5" customHeight="1">
      <c r="A84" s="71" t="s">
        <v>115</v>
      </c>
      <c r="B84" s="72" t="s">
        <v>118</v>
      </c>
      <c r="C84" s="76"/>
      <c r="D84" s="74">
        <v>132851</v>
      </c>
      <c r="E84" s="78">
        <v>7</v>
      </c>
      <c r="F84" s="447">
        <f t="shared" si="8"/>
        <v>150116</v>
      </c>
      <c r="G84" s="448">
        <f t="shared" si="9"/>
        <v>146358</v>
      </c>
      <c r="H84" s="449">
        <v>97908</v>
      </c>
      <c r="I84" s="460">
        <v>95386</v>
      </c>
      <c r="J84" s="449">
        <v>0</v>
      </c>
      <c r="K84" s="460">
        <v>0</v>
      </c>
      <c r="L84" s="449">
        <v>52208</v>
      </c>
      <c r="M84" s="449">
        <v>0</v>
      </c>
      <c r="N84" s="449">
        <v>0</v>
      </c>
      <c r="O84" s="460">
        <v>50972</v>
      </c>
      <c r="P84" s="460">
        <v>0</v>
      </c>
      <c r="Q84" s="460">
        <v>0</v>
      </c>
      <c r="R84" s="449">
        <v>0</v>
      </c>
      <c r="S84" s="460">
        <v>0</v>
      </c>
      <c r="T84" s="447">
        <f t="shared" si="10"/>
        <v>0</v>
      </c>
      <c r="U84" s="448">
        <f t="shared" si="11"/>
        <v>0</v>
      </c>
      <c r="V84" s="449"/>
      <c r="W84" s="450"/>
      <c r="X84" s="449"/>
      <c r="Y84" s="450"/>
      <c r="Z84" s="449"/>
      <c r="AA84" s="449"/>
      <c r="AB84" s="449"/>
      <c r="AC84" s="450"/>
      <c r="AD84" s="450"/>
      <c r="AE84" s="450"/>
      <c r="AF84" s="449"/>
      <c r="AG84" s="450"/>
    </row>
    <row r="85" spans="1:33">
      <c r="A85" s="71" t="s">
        <v>115</v>
      </c>
      <c r="B85" s="72" t="s">
        <v>119</v>
      </c>
      <c r="C85" s="73"/>
      <c r="D85" s="74">
        <v>133021</v>
      </c>
      <c r="E85" s="78">
        <v>7</v>
      </c>
      <c r="F85" s="447">
        <f t="shared" si="8"/>
        <v>40355</v>
      </c>
      <c r="G85" s="448">
        <f t="shared" si="9"/>
        <v>38380</v>
      </c>
      <c r="H85" s="449">
        <v>27813</v>
      </c>
      <c r="I85" s="460">
        <v>25145</v>
      </c>
      <c r="J85" s="449">
        <v>2066</v>
      </c>
      <c r="K85" s="460">
        <v>1906</v>
      </c>
      <c r="L85" s="449">
        <v>10476</v>
      </c>
      <c r="M85" s="449">
        <v>0</v>
      </c>
      <c r="N85" s="449">
        <v>0</v>
      </c>
      <c r="O85" s="460">
        <v>11329</v>
      </c>
      <c r="P85" s="460">
        <v>0</v>
      </c>
      <c r="Q85" s="460">
        <v>0</v>
      </c>
      <c r="R85" s="449">
        <v>0</v>
      </c>
      <c r="S85" s="460">
        <v>0</v>
      </c>
      <c r="T85" s="447">
        <f t="shared" si="10"/>
        <v>0</v>
      </c>
      <c r="U85" s="448">
        <f t="shared" si="11"/>
        <v>0</v>
      </c>
      <c r="V85" s="449"/>
      <c r="W85" s="450"/>
      <c r="X85" s="449"/>
      <c r="Y85" s="450"/>
      <c r="Z85" s="449"/>
      <c r="AA85" s="449"/>
      <c r="AB85" s="449"/>
      <c r="AC85" s="450"/>
      <c r="AD85" s="450"/>
      <c r="AE85" s="450"/>
      <c r="AF85" s="449"/>
      <c r="AG85" s="450"/>
    </row>
    <row r="86" spans="1:33">
      <c r="A86" s="71" t="s">
        <v>115</v>
      </c>
      <c r="B86" s="72" t="s">
        <v>120</v>
      </c>
      <c r="C86" s="73"/>
      <c r="D86" s="74">
        <v>133386</v>
      </c>
      <c r="E86" s="78">
        <v>7</v>
      </c>
      <c r="F86" s="447">
        <f t="shared" si="8"/>
        <v>282410</v>
      </c>
      <c r="G86" s="448">
        <f t="shared" si="9"/>
        <v>283013</v>
      </c>
      <c r="H86" s="449">
        <v>148942</v>
      </c>
      <c r="I86" s="460">
        <v>143503</v>
      </c>
      <c r="J86" s="449">
        <v>7614</v>
      </c>
      <c r="K86" s="460">
        <v>7177</v>
      </c>
      <c r="L86" s="449">
        <v>125854</v>
      </c>
      <c r="M86" s="449">
        <v>0</v>
      </c>
      <c r="N86" s="449">
        <v>0</v>
      </c>
      <c r="O86" s="460">
        <v>132333</v>
      </c>
      <c r="P86" s="460">
        <v>0</v>
      </c>
      <c r="Q86" s="460">
        <v>0</v>
      </c>
      <c r="R86" s="449">
        <v>0</v>
      </c>
      <c r="S86" s="460">
        <v>0</v>
      </c>
      <c r="T86" s="447">
        <f t="shared" si="10"/>
        <v>0</v>
      </c>
      <c r="U86" s="448">
        <f t="shared" si="11"/>
        <v>0</v>
      </c>
      <c r="V86" s="449"/>
      <c r="W86" s="450"/>
      <c r="X86" s="449"/>
      <c r="Y86" s="450"/>
      <c r="Z86" s="449"/>
      <c r="AA86" s="449"/>
      <c r="AB86" s="449"/>
      <c r="AC86" s="450"/>
      <c r="AD86" s="450"/>
      <c r="AE86" s="450"/>
      <c r="AF86" s="449"/>
      <c r="AG86" s="450"/>
    </row>
    <row r="87" spans="1:33">
      <c r="A87" s="71" t="s">
        <v>115</v>
      </c>
      <c r="B87" s="72" t="s">
        <v>121</v>
      </c>
      <c r="C87" s="73"/>
      <c r="D87" s="74">
        <v>133508</v>
      </c>
      <c r="E87" s="78">
        <v>7</v>
      </c>
      <c r="F87" s="447">
        <f t="shared" si="8"/>
        <v>334341</v>
      </c>
      <c r="G87" s="448">
        <f t="shared" si="9"/>
        <v>330497</v>
      </c>
      <c r="H87" s="449">
        <v>233717</v>
      </c>
      <c r="I87" s="460">
        <v>225593</v>
      </c>
      <c r="J87" s="449">
        <v>15731</v>
      </c>
      <c r="K87" s="460">
        <v>15807</v>
      </c>
      <c r="L87" s="449">
        <v>83469</v>
      </c>
      <c r="M87" s="449">
        <v>0</v>
      </c>
      <c r="N87" s="449">
        <v>0</v>
      </c>
      <c r="O87" s="460">
        <v>87771</v>
      </c>
      <c r="P87" s="460">
        <v>0</v>
      </c>
      <c r="Q87" s="460">
        <v>0</v>
      </c>
      <c r="R87" s="449">
        <v>1424</v>
      </c>
      <c r="S87" s="460">
        <v>1326</v>
      </c>
      <c r="T87" s="447">
        <f t="shared" si="10"/>
        <v>0</v>
      </c>
      <c r="U87" s="448">
        <f t="shared" si="11"/>
        <v>0</v>
      </c>
      <c r="V87" s="449"/>
      <c r="W87" s="450"/>
      <c r="X87" s="449"/>
      <c r="Y87" s="450"/>
      <c r="Z87" s="449"/>
      <c r="AA87" s="449"/>
      <c r="AB87" s="449"/>
      <c r="AC87" s="450"/>
      <c r="AD87" s="450"/>
      <c r="AE87" s="450"/>
      <c r="AF87" s="449"/>
      <c r="AG87" s="450"/>
    </row>
    <row r="88" spans="1:33">
      <c r="A88" s="71" t="s">
        <v>115</v>
      </c>
      <c r="B88" s="72" t="s">
        <v>122</v>
      </c>
      <c r="C88" s="77"/>
      <c r="D88" s="74">
        <v>133702</v>
      </c>
      <c r="E88" s="78">
        <v>7</v>
      </c>
      <c r="F88" s="447">
        <f t="shared" si="8"/>
        <v>405061</v>
      </c>
      <c r="G88" s="448">
        <f t="shared" si="9"/>
        <v>479913</v>
      </c>
      <c r="H88" s="449">
        <v>227688</v>
      </c>
      <c r="I88" s="460">
        <v>328845</v>
      </c>
      <c r="J88" s="449">
        <v>14233</v>
      </c>
      <c r="K88" s="460">
        <v>10264</v>
      </c>
      <c r="L88" s="449">
        <v>163140</v>
      </c>
      <c r="M88" s="449">
        <v>0</v>
      </c>
      <c r="N88" s="449">
        <v>0</v>
      </c>
      <c r="O88" s="460">
        <v>140804</v>
      </c>
      <c r="P88" s="460">
        <v>0</v>
      </c>
      <c r="Q88" s="460">
        <v>0</v>
      </c>
      <c r="R88" s="449">
        <v>0</v>
      </c>
      <c r="S88" s="460">
        <v>0</v>
      </c>
      <c r="T88" s="447">
        <f t="shared" si="10"/>
        <v>0</v>
      </c>
      <c r="U88" s="448">
        <f t="shared" si="11"/>
        <v>0</v>
      </c>
      <c r="V88" s="449"/>
      <c r="W88" s="450"/>
      <c r="X88" s="449"/>
      <c r="Y88" s="450"/>
      <c r="Z88" s="449"/>
      <c r="AA88" s="449"/>
      <c r="AB88" s="449"/>
      <c r="AC88" s="450"/>
      <c r="AD88" s="450"/>
      <c r="AE88" s="450"/>
      <c r="AF88" s="449"/>
      <c r="AG88" s="450"/>
    </row>
    <row r="89" spans="1:33">
      <c r="A89" s="71" t="s">
        <v>115</v>
      </c>
      <c r="B89" s="72" t="s">
        <v>793</v>
      </c>
      <c r="C89" s="73" t="s">
        <v>794</v>
      </c>
      <c r="D89" s="74">
        <v>133960</v>
      </c>
      <c r="E89" s="78">
        <v>10</v>
      </c>
      <c r="F89" s="447">
        <f t="shared" si="8"/>
        <v>19537</v>
      </c>
      <c r="G89" s="448">
        <f t="shared" si="9"/>
        <v>18962</v>
      </c>
      <c r="H89" s="449">
        <v>13628</v>
      </c>
      <c r="I89" s="460">
        <v>13162</v>
      </c>
      <c r="J89" s="449">
        <v>815</v>
      </c>
      <c r="K89" s="460">
        <v>678</v>
      </c>
      <c r="L89" s="449">
        <v>5094</v>
      </c>
      <c r="M89" s="449">
        <v>0</v>
      </c>
      <c r="N89" s="449">
        <v>0</v>
      </c>
      <c r="O89" s="460">
        <v>5122</v>
      </c>
      <c r="P89" s="460">
        <v>0</v>
      </c>
      <c r="Q89" s="460">
        <v>0</v>
      </c>
      <c r="R89" s="449">
        <v>0</v>
      </c>
      <c r="S89" s="460">
        <v>0</v>
      </c>
      <c r="T89" s="447">
        <f t="shared" si="10"/>
        <v>0</v>
      </c>
      <c r="U89" s="448">
        <f t="shared" si="11"/>
        <v>0</v>
      </c>
      <c r="V89" s="449"/>
      <c r="W89" s="450"/>
      <c r="X89" s="449"/>
      <c r="Y89" s="450"/>
      <c r="Z89" s="449"/>
      <c r="AA89" s="449"/>
      <c r="AB89" s="449"/>
      <c r="AC89" s="450"/>
      <c r="AD89" s="450"/>
      <c r="AE89" s="450"/>
      <c r="AF89" s="449"/>
      <c r="AG89" s="450"/>
    </row>
    <row r="90" spans="1:33">
      <c r="A90" s="71" t="s">
        <v>115</v>
      </c>
      <c r="B90" s="72" t="s">
        <v>123</v>
      </c>
      <c r="C90" s="75"/>
      <c r="D90" s="74">
        <v>134343</v>
      </c>
      <c r="E90" s="78">
        <v>7</v>
      </c>
      <c r="F90" s="447">
        <f t="shared" si="8"/>
        <v>105466</v>
      </c>
      <c r="G90" s="448">
        <f t="shared" si="9"/>
        <v>90176</v>
      </c>
      <c r="H90" s="449">
        <v>63471</v>
      </c>
      <c r="I90" s="460">
        <v>51883</v>
      </c>
      <c r="J90" s="449">
        <v>10562</v>
      </c>
      <c r="K90" s="460">
        <v>9030</v>
      </c>
      <c r="L90" s="449">
        <v>31433</v>
      </c>
      <c r="M90" s="449">
        <v>0</v>
      </c>
      <c r="N90" s="449">
        <v>0</v>
      </c>
      <c r="O90" s="460">
        <v>29263</v>
      </c>
      <c r="P90" s="460">
        <v>0</v>
      </c>
      <c r="Q90" s="460">
        <v>0</v>
      </c>
      <c r="R90" s="449">
        <v>0</v>
      </c>
      <c r="S90" s="460">
        <v>0</v>
      </c>
      <c r="T90" s="447">
        <f t="shared" si="10"/>
        <v>0</v>
      </c>
      <c r="U90" s="448">
        <f t="shared" si="11"/>
        <v>0</v>
      </c>
      <c r="V90" s="449"/>
      <c r="W90" s="450"/>
      <c r="X90" s="449"/>
      <c r="Y90" s="450"/>
      <c r="Z90" s="449"/>
      <c r="AA90" s="449"/>
      <c r="AB90" s="449"/>
      <c r="AC90" s="450"/>
      <c r="AD90" s="450"/>
      <c r="AE90" s="450"/>
      <c r="AF90" s="449"/>
      <c r="AG90" s="450"/>
    </row>
    <row r="91" spans="1:33">
      <c r="A91" s="71" t="s">
        <v>115</v>
      </c>
      <c r="B91" s="72" t="s">
        <v>124</v>
      </c>
      <c r="C91" s="73"/>
      <c r="D91" s="74">
        <v>134495</v>
      </c>
      <c r="E91" s="78">
        <v>8</v>
      </c>
      <c r="F91" s="447">
        <f t="shared" si="8"/>
        <v>579678</v>
      </c>
      <c r="G91" s="448">
        <f t="shared" si="9"/>
        <v>587949</v>
      </c>
      <c r="H91" s="449">
        <v>373686</v>
      </c>
      <c r="I91" s="460">
        <v>356199</v>
      </c>
      <c r="J91" s="449">
        <v>21989</v>
      </c>
      <c r="K91" s="460">
        <v>25797</v>
      </c>
      <c r="L91" s="449">
        <v>184003</v>
      </c>
      <c r="M91" s="449">
        <v>0</v>
      </c>
      <c r="N91" s="449">
        <v>0</v>
      </c>
      <c r="O91" s="460">
        <v>205953</v>
      </c>
      <c r="P91" s="460">
        <v>0</v>
      </c>
      <c r="Q91" s="460">
        <v>0</v>
      </c>
      <c r="R91" s="449">
        <v>0</v>
      </c>
      <c r="S91" s="460">
        <v>0</v>
      </c>
      <c r="T91" s="447">
        <f t="shared" si="10"/>
        <v>0</v>
      </c>
      <c r="U91" s="448">
        <f t="shared" si="11"/>
        <v>0</v>
      </c>
      <c r="V91" s="449"/>
      <c r="W91" s="450"/>
      <c r="X91" s="449"/>
      <c r="Y91" s="450"/>
      <c r="Z91" s="449"/>
      <c r="AA91" s="449"/>
      <c r="AB91" s="449"/>
      <c r="AC91" s="450"/>
      <c r="AD91" s="450"/>
      <c r="AE91" s="450"/>
      <c r="AF91" s="449"/>
      <c r="AG91" s="450"/>
    </row>
    <row r="92" spans="1:33">
      <c r="A92" s="71" t="s">
        <v>115</v>
      </c>
      <c r="B92" s="72" t="s">
        <v>125</v>
      </c>
      <c r="C92" s="77"/>
      <c r="D92" s="74">
        <v>134608</v>
      </c>
      <c r="E92" s="78">
        <v>7</v>
      </c>
      <c r="F92" s="447">
        <f t="shared" si="8"/>
        <v>334639</v>
      </c>
      <c r="G92" s="448">
        <f t="shared" si="9"/>
        <v>316920</v>
      </c>
      <c r="H92" s="449">
        <v>190271</v>
      </c>
      <c r="I92" s="460">
        <v>185326</v>
      </c>
      <c r="J92" s="449">
        <v>49203</v>
      </c>
      <c r="K92" s="460">
        <v>27091</v>
      </c>
      <c r="L92" s="449">
        <v>61281</v>
      </c>
      <c r="M92" s="449">
        <v>0</v>
      </c>
      <c r="N92" s="449">
        <v>33691</v>
      </c>
      <c r="O92" s="460">
        <v>69185</v>
      </c>
      <c r="P92" s="460">
        <v>0</v>
      </c>
      <c r="Q92" s="460">
        <v>35318</v>
      </c>
      <c r="R92" s="449">
        <v>193</v>
      </c>
      <c r="S92" s="460">
        <v>0</v>
      </c>
      <c r="T92" s="447">
        <f t="shared" si="10"/>
        <v>0</v>
      </c>
      <c r="U92" s="448">
        <f t="shared" si="11"/>
        <v>0</v>
      </c>
      <c r="V92" s="449"/>
      <c r="W92" s="450"/>
      <c r="X92" s="449"/>
      <c r="Y92" s="450"/>
      <c r="Z92" s="449"/>
      <c r="AA92" s="449"/>
      <c r="AB92" s="449"/>
      <c r="AC92" s="450"/>
      <c r="AD92" s="450"/>
      <c r="AE92" s="450"/>
      <c r="AF92" s="449"/>
      <c r="AG92" s="450"/>
    </row>
    <row r="93" spans="1:33">
      <c r="A93" s="71" t="s">
        <v>115</v>
      </c>
      <c r="B93" s="72" t="s">
        <v>126</v>
      </c>
      <c r="C93" s="76"/>
      <c r="D93" s="74">
        <v>135160</v>
      </c>
      <c r="E93" s="78">
        <v>7</v>
      </c>
      <c r="F93" s="447">
        <f t="shared" si="8"/>
        <v>63453</v>
      </c>
      <c r="G93" s="448">
        <f t="shared" si="9"/>
        <v>64237</v>
      </c>
      <c r="H93" s="449">
        <v>24108</v>
      </c>
      <c r="I93" s="460">
        <v>24772</v>
      </c>
      <c r="J93" s="449">
        <v>4749</v>
      </c>
      <c r="K93" s="460">
        <v>4161</v>
      </c>
      <c r="L93" s="449">
        <v>34596</v>
      </c>
      <c r="M93" s="449">
        <v>0</v>
      </c>
      <c r="N93" s="449">
        <v>0</v>
      </c>
      <c r="O93" s="460">
        <v>35304</v>
      </c>
      <c r="P93" s="460">
        <v>0</v>
      </c>
      <c r="Q93" s="460">
        <v>0</v>
      </c>
      <c r="R93" s="449">
        <v>0</v>
      </c>
      <c r="S93" s="460">
        <v>0</v>
      </c>
      <c r="T93" s="447">
        <f t="shared" si="10"/>
        <v>0</v>
      </c>
      <c r="U93" s="448">
        <f t="shared" si="11"/>
        <v>0</v>
      </c>
      <c r="V93" s="449"/>
      <c r="W93" s="450"/>
      <c r="X93" s="449"/>
      <c r="Y93" s="450"/>
      <c r="Z93" s="449"/>
      <c r="AA93" s="449"/>
      <c r="AB93" s="449"/>
      <c r="AC93" s="450"/>
      <c r="AD93" s="450"/>
      <c r="AE93" s="450"/>
      <c r="AF93" s="449"/>
      <c r="AG93" s="450"/>
    </row>
    <row r="94" spans="1:33">
      <c r="A94" s="71" t="s">
        <v>115</v>
      </c>
      <c r="B94" s="72" t="s">
        <v>127</v>
      </c>
      <c r="C94" s="76"/>
      <c r="D94" s="74">
        <v>135188</v>
      </c>
      <c r="E94" s="78">
        <v>7</v>
      </c>
      <c r="F94" s="447">
        <f t="shared" si="8"/>
        <v>95582</v>
      </c>
      <c r="G94" s="448">
        <f t="shared" si="9"/>
        <v>99162</v>
      </c>
      <c r="H94" s="449">
        <v>62930</v>
      </c>
      <c r="I94" s="460">
        <v>63914</v>
      </c>
      <c r="J94" s="449">
        <v>0</v>
      </c>
      <c r="K94" s="460">
        <v>0</v>
      </c>
      <c r="L94" s="449">
        <v>32652</v>
      </c>
      <c r="M94" s="449">
        <v>0</v>
      </c>
      <c r="N94" s="449">
        <v>0</v>
      </c>
      <c r="O94" s="460">
        <v>35248</v>
      </c>
      <c r="P94" s="460">
        <v>0</v>
      </c>
      <c r="Q94" s="460">
        <v>0</v>
      </c>
      <c r="R94" s="449">
        <v>0</v>
      </c>
      <c r="S94" s="460">
        <v>0</v>
      </c>
      <c r="T94" s="447">
        <f t="shared" si="10"/>
        <v>0</v>
      </c>
      <c r="U94" s="448">
        <f t="shared" si="11"/>
        <v>0</v>
      </c>
      <c r="V94" s="449"/>
      <c r="W94" s="450"/>
      <c r="X94" s="449"/>
      <c r="Y94" s="450"/>
      <c r="Z94" s="449"/>
      <c r="AA94" s="449"/>
      <c r="AB94" s="449"/>
      <c r="AC94" s="450"/>
      <c r="AD94" s="450"/>
      <c r="AE94" s="450"/>
      <c r="AF94" s="449"/>
      <c r="AG94" s="450"/>
    </row>
    <row r="95" spans="1:33">
      <c r="A95" s="71" t="s">
        <v>115</v>
      </c>
      <c r="B95" s="72" t="s">
        <v>128</v>
      </c>
      <c r="C95" s="75"/>
      <c r="D95" s="74">
        <v>135391</v>
      </c>
      <c r="E95" s="78">
        <v>7</v>
      </c>
      <c r="F95" s="447">
        <f t="shared" si="8"/>
        <v>203423</v>
      </c>
      <c r="G95" s="448">
        <f t="shared" si="9"/>
        <v>200641</v>
      </c>
      <c r="H95" s="449">
        <v>117600</v>
      </c>
      <c r="I95" s="460">
        <v>119488</v>
      </c>
      <c r="J95" s="449">
        <v>10122</v>
      </c>
      <c r="K95" s="460">
        <v>4208</v>
      </c>
      <c r="L95" s="449">
        <v>75701</v>
      </c>
      <c r="M95" s="449">
        <v>0</v>
      </c>
      <c r="N95" s="449">
        <v>0</v>
      </c>
      <c r="O95" s="460">
        <v>76945</v>
      </c>
      <c r="P95" s="460">
        <v>0</v>
      </c>
      <c r="Q95" s="460">
        <v>0</v>
      </c>
      <c r="R95" s="449">
        <v>0</v>
      </c>
      <c r="S95" s="460">
        <v>0</v>
      </c>
      <c r="T95" s="447">
        <f t="shared" si="10"/>
        <v>0</v>
      </c>
      <c r="U95" s="448">
        <f t="shared" si="11"/>
        <v>0</v>
      </c>
      <c r="V95" s="449"/>
      <c r="W95" s="450"/>
      <c r="X95" s="449"/>
      <c r="Y95" s="450"/>
      <c r="Z95" s="449"/>
      <c r="AA95" s="449"/>
      <c r="AB95" s="449"/>
      <c r="AC95" s="450"/>
      <c r="AD95" s="450"/>
      <c r="AE95" s="450"/>
      <c r="AF95" s="449"/>
      <c r="AG95" s="450"/>
    </row>
    <row r="96" spans="1:33">
      <c r="A96" s="71" t="s">
        <v>115</v>
      </c>
      <c r="B96" s="72" t="s">
        <v>129</v>
      </c>
      <c r="C96" s="73"/>
      <c r="D96" s="74">
        <v>135717</v>
      </c>
      <c r="E96" s="78">
        <v>7</v>
      </c>
      <c r="F96" s="447">
        <f t="shared" si="8"/>
        <v>1360384</v>
      </c>
      <c r="G96" s="448">
        <f t="shared" si="9"/>
        <v>1325305</v>
      </c>
      <c r="H96" s="449">
        <v>1196201</v>
      </c>
      <c r="I96" s="460">
        <v>1148586</v>
      </c>
      <c r="J96" s="449">
        <v>19712</v>
      </c>
      <c r="K96" s="460">
        <v>20051</v>
      </c>
      <c r="L96" s="449">
        <v>142977</v>
      </c>
      <c r="M96" s="449">
        <v>0</v>
      </c>
      <c r="N96" s="449">
        <v>0</v>
      </c>
      <c r="O96" s="460">
        <v>154631</v>
      </c>
      <c r="P96" s="460">
        <v>0</v>
      </c>
      <c r="Q96" s="460">
        <v>0</v>
      </c>
      <c r="R96" s="449">
        <v>1494</v>
      </c>
      <c r="S96" s="460">
        <v>2037</v>
      </c>
      <c r="T96" s="447">
        <f t="shared" si="10"/>
        <v>0</v>
      </c>
      <c r="U96" s="448">
        <f t="shared" si="11"/>
        <v>0</v>
      </c>
      <c r="V96" s="449"/>
      <c r="W96" s="450"/>
      <c r="X96" s="449"/>
      <c r="Y96" s="450"/>
      <c r="Z96" s="449"/>
      <c r="AA96" s="449"/>
      <c r="AB96" s="449"/>
      <c r="AC96" s="450"/>
      <c r="AD96" s="450"/>
      <c r="AE96" s="450"/>
      <c r="AF96" s="449"/>
      <c r="AG96" s="450"/>
    </row>
    <row r="97" spans="1:33">
      <c r="A97" s="71" t="s">
        <v>115</v>
      </c>
      <c r="B97" s="72" t="s">
        <v>795</v>
      </c>
      <c r="C97" s="73" t="s">
        <v>792</v>
      </c>
      <c r="D97" s="74">
        <v>136145</v>
      </c>
      <c r="E97" s="78">
        <v>10</v>
      </c>
      <c r="F97" s="447">
        <f t="shared" si="8"/>
        <v>22801</v>
      </c>
      <c r="G97" s="448">
        <f t="shared" si="9"/>
        <v>22335</v>
      </c>
      <c r="H97" s="449">
        <v>13261</v>
      </c>
      <c r="I97" s="460">
        <v>12248</v>
      </c>
      <c r="J97" s="449">
        <v>420</v>
      </c>
      <c r="K97" s="460">
        <v>288</v>
      </c>
      <c r="L97" s="449">
        <v>9039</v>
      </c>
      <c r="M97" s="449">
        <v>0</v>
      </c>
      <c r="N97" s="449">
        <v>81</v>
      </c>
      <c r="O97" s="460">
        <v>9799</v>
      </c>
      <c r="P97" s="460">
        <v>0</v>
      </c>
      <c r="Q97" s="460">
        <v>0</v>
      </c>
      <c r="R97" s="449">
        <v>0</v>
      </c>
      <c r="S97" s="460">
        <v>0</v>
      </c>
      <c r="T97" s="447">
        <f t="shared" si="10"/>
        <v>0</v>
      </c>
      <c r="U97" s="448">
        <f t="shared" si="11"/>
        <v>0</v>
      </c>
      <c r="V97" s="449"/>
      <c r="W97" s="450"/>
      <c r="X97" s="449"/>
      <c r="Y97" s="450"/>
      <c r="Z97" s="449"/>
      <c r="AA97" s="449"/>
      <c r="AB97" s="449"/>
      <c r="AC97" s="450"/>
      <c r="AD97" s="450"/>
      <c r="AE97" s="450"/>
      <c r="AF97" s="449"/>
      <c r="AG97" s="450"/>
    </row>
    <row r="98" spans="1:33">
      <c r="A98" s="71" t="s">
        <v>115</v>
      </c>
      <c r="B98" s="72" t="s">
        <v>130</v>
      </c>
      <c r="C98" s="73"/>
      <c r="D98" s="74">
        <v>136233</v>
      </c>
      <c r="E98" s="78">
        <v>7</v>
      </c>
      <c r="F98" s="447">
        <f t="shared" si="8"/>
        <v>108372</v>
      </c>
      <c r="G98" s="448">
        <f t="shared" si="9"/>
        <v>108814</v>
      </c>
      <c r="H98" s="449">
        <v>62708</v>
      </c>
      <c r="I98" s="460">
        <v>58047</v>
      </c>
      <c r="J98" s="449">
        <v>7763</v>
      </c>
      <c r="K98" s="460">
        <v>6697</v>
      </c>
      <c r="L98" s="449">
        <v>37901</v>
      </c>
      <c r="M98" s="449">
        <v>0</v>
      </c>
      <c r="N98" s="449">
        <v>0</v>
      </c>
      <c r="O98" s="460">
        <v>44070</v>
      </c>
      <c r="P98" s="460">
        <v>0</v>
      </c>
      <c r="Q98" s="460">
        <v>0</v>
      </c>
      <c r="R98" s="449">
        <v>0</v>
      </c>
      <c r="S98" s="460">
        <v>0</v>
      </c>
      <c r="T98" s="447">
        <f t="shared" si="10"/>
        <v>0</v>
      </c>
      <c r="U98" s="448">
        <f t="shared" si="11"/>
        <v>0</v>
      </c>
      <c r="V98" s="449"/>
      <c r="W98" s="450"/>
      <c r="X98" s="449"/>
      <c r="Y98" s="450"/>
      <c r="Z98" s="449"/>
      <c r="AA98" s="449"/>
      <c r="AB98" s="449"/>
      <c r="AC98" s="450"/>
      <c r="AD98" s="450"/>
      <c r="AE98" s="450"/>
      <c r="AF98" s="449"/>
      <c r="AG98" s="450"/>
    </row>
    <row r="99" spans="1:33">
      <c r="A99" s="71" t="s">
        <v>115</v>
      </c>
      <c r="B99" s="72" t="s">
        <v>131</v>
      </c>
      <c r="C99" s="75"/>
      <c r="D99" s="74">
        <v>136358</v>
      </c>
      <c r="E99" s="78">
        <v>7</v>
      </c>
      <c r="F99" s="447">
        <f t="shared" si="8"/>
        <v>596392</v>
      </c>
      <c r="G99" s="448">
        <f t="shared" si="9"/>
        <v>589314</v>
      </c>
      <c r="H99" s="449">
        <v>465210</v>
      </c>
      <c r="I99" s="460">
        <v>445876</v>
      </c>
      <c r="J99" s="449">
        <v>7873</v>
      </c>
      <c r="K99" s="460">
        <v>8260</v>
      </c>
      <c r="L99" s="449">
        <v>120172</v>
      </c>
      <c r="M99" s="449">
        <v>0</v>
      </c>
      <c r="N99" s="449">
        <v>3137</v>
      </c>
      <c r="O99" s="460">
        <v>132182</v>
      </c>
      <c r="P99" s="460">
        <v>0</v>
      </c>
      <c r="Q99" s="460">
        <v>2996</v>
      </c>
      <c r="R99" s="449">
        <v>0</v>
      </c>
      <c r="S99" s="460">
        <v>0</v>
      </c>
      <c r="T99" s="447">
        <f t="shared" si="10"/>
        <v>0</v>
      </c>
      <c r="U99" s="448">
        <f t="shared" si="11"/>
        <v>0</v>
      </c>
      <c r="V99" s="449"/>
      <c r="W99" s="450"/>
      <c r="X99" s="449"/>
      <c r="Y99" s="450"/>
      <c r="Z99" s="449"/>
      <c r="AA99" s="449"/>
      <c r="AB99" s="449"/>
      <c r="AC99" s="450"/>
      <c r="AD99" s="450"/>
      <c r="AE99" s="450"/>
      <c r="AF99" s="449"/>
      <c r="AG99" s="450"/>
    </row>
    <row r="100" spans="1:33">
      <c r="A100" s="71" t="s">
        <v>115</v>
      </c>
      <c r="B100" s="72" t="s">
        <v>132</v>
      </c>
      <c r="C100" s="76"/>
      <c r="D100" s="74">
        <v>136400</v>
      </c>
      <c r="E100" s="78">
        <v>7</v>
      </c>
      <c r="F100" s="447">
        <f t="shared" si="8"/>
        <v>219112</v>
      </c>
      <c r="G100" s="448">
        <f t="shared" si="9"/>
        <v>219296</v>
      </c>
      <c r="H100" s="449">
        <v>141219</v>
      </c>
      <c r="I100" s="460">
        <v>138852</v>
      </c>
      <c r="J100" s="449">
        <v>10291</v>
      </c>
      <c r="K100" s="460">
        <v>10845</v>
      </c>
      <c r="L100" s="449">
        <v>67602</v>
      </c>
      <c r="M100" s="449">
        <v>0</v>
      </c>
      <c r="N100" s="449">
        <v>0</v>
      </c>
      <c r="O100" s="460">
        <v>69599</v>
      </c>
      <c r="P100" s="460">
        <v>0</v>
      </c>
      <c r="Q100" s="460">
        <v>0</v>
      </c>
      <c r="R100" s="449">
        <v>0</v>
      </c>
      <c r="S100" s="460">
        <v>0</v>
      </c>
      <c r="T100" s="447">
        <f t="shared" si="10"/>
        <v>0</v>
      </c>
      <c r="U100" s="448">
        <f t="shared" si="11"/>
        <v>0</v>
      </c>
      <c r="V100" s="449"/>
      <c r="W100" s="450"/>
      <c r="X100" s="449"/>
      <c r="Y100" s="450"/>
      <c r="Z100" s="449"/>
      <c r="AA100" s="449"/>
      <c r="AB100" s="449"/>
      <c r="AC100" s="450"/>
      <c r="AD100" s="450"/>
      <c r="AE100" s="450"/>
      <c r="AF100" s="449"/>
      <c r="AG100" s="450"/>
    </row>
    <row r="101" spans="1:33">
      <c r="A101" s="71" t="s">
        <v>115</v>
      </c>
      <c r="B101" s="72" t="s">
        <v>133</v>
      </c>
      <c r="C101" s="75"/>
      <c r="D101" s="74">
        <v>136473</v>
      </c>
      <c r="E101" s="78">
        <v>7</v>
      </c>
      <c r="F101" s="447">
        <f t="shared" si="8"/>
        <v>200019</v>
      </c>
      <c r="G101" s="448">
        <f t="shared" si="9"/>
        <v>198132</v>
      </c>
      <c r="H101" s="449">
        <v>125242</v>
      </c>
      <c r="I101" s="460">
        <v>112721</v>
      </c>
      <c r="J101" s="449">
        <v>16730</v>
      </c>
      <c r="K101" s="460">
        <v>24669</v>
      </c>
      <c r="L101" s="449">
        <v>57169</v>
      </c>
      <c r="M101" s="449">
        <v>878</v>
      </c>
      <c r="N101" s="449">
        <v>0</v>
      </c>
      <c r="O101" s="460">
        <v>59969</v>
      </c>
      <c r="P101" s="460">
        <v>773</v>
      </c>
      <c r="Q101" s="460">
        <v>0</v>
      </c>
      <c r="R101" s="449">
        <v>0</v>
      </c>
      <c r="S101" s="460">
        <v>0</v>
      </c>
      <c r="T101" s="447">
        <f t="shared" si="10"/>
        <v>0</v>
      </c>
      <c r="U101" s="448">
        <f t="shared" si="11"/>
        <v>0</v>
      </c>
      <c r="V101" s="449"/>
      <c r="W101" s="450"/>
      <c r="X101" s="449"/>
      <c r="Y101" s="450"/>
      <c r="Z101" s="449"/>
      <c r="AA101" s="449"/>
      <c r="AB101" s="449"/>
      <c r="AC101" s="450"/>
      <c r="AD101" s="450"/>
      <c r="AE101" s="450"/>
      <c r="AF101" s="449"/>
      <c r="AG101" s="450"/>
    </row>
    <row r="102" spans="1:33">
      <c r="A102" s="71" t="s">
        <v>115</v>
      </c>
      <c r="B102" s="72" t="s">
        <v>134</v>
      </c>
      <c r="C102" s="75"/>
      <c r="D102" s="74">
        <v>136516</v>
      </c>
      <c r="E102" s="78">
        <v>7</v>
      </c>
      <c r="F102" s="447">
        <f t="shared" si="8"/>
        <v>194576</v>
      </c>
      <c r="G102" s="448">
        <f t="shared" si="9"/>
        <v>197321</v>
      </c>
      <c r="H102" s="449">
        <v>105703</v>
      </c>
      <c r="I102" s="460">
        <v>101429</v>
      </c>
      <c r="J102" s="449">
        <v>21950</v>
      </c>
      <c r="K102" s="460">
        <v>20662</v>
      </c>
      <c r="L102" s="449">
        <v>66923</v>
      </c>
      <c r="M102" s="449">
        <v>0</v>
      </c>
      <c r="N102" s="449">
        <v>0</v>
      </c>
      <c r="O102" s="460">
        <v>75230</v>
      </c>
      <c r="P102" s="460">
        <v>0</v>
      </c>
      <c r="Q102" s="460">
        <v>0</v>
      </c>
      <c r="R102" s="449">
        <v>0</v>
      </c>
      <c r="S102" s="460">
        <v>0</v>
      </c>
      <c r="T102" s="447">
        <f t="shared" si="10"/>
        <v>0</v>
      </c>
      <c r="U102" s="448">
        <f t="shared" si="11"/>
        <v>0</v>
      </c>
      <c r="V102" s="449"/>
      <c r="W102" s="450"/>
      <c r="X102" s="449"/>
      <c r="Y102" s="450"/>
      <c r="Z102" s="449"/>
      <c r="AA102" s="449"/>
      <c r="AB102" s="449"/>
      <c r="AC102" s="450"/>
      <c r="AD102" s="450"/>
      <c r="AE102" s="450"/>
      <c r="AF102" s="449"/>
      <c r="AG102" s="450"/>
    </row>
    <row r="103" spans="1:33">
      <c r="A103" s="71" t="s">
        <v>115</v>
      </c>
      <c r="B103" s="72" t="s">
        <v>135</v>
      </c>
      <c r="C103" s="75"/>
      <c r="D103" s="74">
        <v>137281</v>
      </c>
      <c r="E103" s="78">
        <v>7</v>
      </c>
      <c r="F103" s="447">
        <f t="shared" si="8"/>
        <v>132562</v>
      </c>
      <c r="G103" s="448">
        <f t="shared" si="9"/>
        <v>134813</v>
      </c>
      <c r="H103" s="449">
        <v>69707</v>
      </c>
      <c r="I103" s="460">
        <v>67999</v>
      </c>
      <c r="J103" s="449">
        <v>18518</v>
      </c>
      <c r="K103" s="460">
        <v>17669</v>
      </c>
      <c r="L103" s="449">
        <v>44337</v>
      </c>
      <c r="M103" s="449">
        <v>0</v>
      </c>
      <c r="N103" s="449">
        <v>0</v>
      </c>
      <c r="O103" s="460">
        <v>49004</v>
      </c>
      <c r="P103" s="460">
        <v>141</v>
      </c>
      <c r="Q103" s="460">
        <v>0</v>
      </c>
      <c r="R103" s="449">
        <v>0</v>
      </c>
      <c r="S103" s="460">
        <v>0</v>
      </c>
      <c r="T103" s="447">
        <f t="shared" si="10"/>
        <v>0</v>
      </c>
      <c r="U103" s="448">
        <f t="shared" si="11"/>
        <v>0</v>
      </c>
      <c r="V103" s="449"/>
      <c r="W103" s="450"/>
      <c r="X103" s="449"/>
      <c r="Y103" s="450"/>
      <c r="Z103" s="449"/>
      <c r="AA103" s="449"/>
      <c r="AB103" s="449"/>
      <c r="AC103" s="450"/>
      <c r="AD103" s="450"/>
      <c r="AE103" s="450"/>
      <c r="AF103" s="449"/>
      <c r="AG103" s="450"/>
    </row>
    <row r="104" spans="1:33">
      <c r="A104" s="71" t="s">
        <v>115</v>
      </c>
      <c r="B104" s="72" t="s">
        <v>136</v>
      </c>
      <c r="C104" s="73"/>
      <c r="D104" s="74">
        <v>137078</v>
      </c>
      <c r="E104" s="78">
        <v>7</v>
      </c>
      <c r="F104" s="447">
        <f t="shared" si="8"/>
        <v>550946</v>
      </c>
      <c r="G104" s="448">
        <f t="shared" si="9"/>
        <v>550463</v>
      </c>
      <c r="H104" s="449">
        <v>287218</v>
      </c>
      <c r="I104" s="460">
        <v>276401</v>
      </c>
      <c r="J104" s="449">
        <v>0</v>
      </c>
      <c r="K104" s="460">
        <v>0</v>
      </c>
      <c r="L104" s="449">
        <v>263728</v>
      </c>
      <c r="M104" s="449">
        <v>0</v>
      </c>
      <c r="N104" s="449">
        <v>0</v>
      </c>
      <c r="O104" s="460">
        <v>274062</v>
      </c>
      <c r="P104" s="460">
        <v>0</v>
      </c>
      <c r="Q104" s="460">
        <v>0</v>
      </c>
      <c r="R104" s="449">
        <v>0</v>
      </c>
      <c r="S104" s="460">
        <v>0</v>
      </c>
      <c r="T104" s="447">
        <f t="shared" si="10"/>
        <v>0</v>
      </c>
      <c r="U104" s="448">
        <f t="shared" si="11"/>
        <v>0</v>
      </c>
      <c r="V104" s="449"/>
      <c r="W104" s="450"/>
      <c r="X104" s="449"/>
      <c r="Y104" s="450"/>
      <c r="Z104" s="449"/>
      <c r="AA104" s="449"/>
      <c r="AB104" s="449"/>
      <c r="AC104" s="450"/>
      <c r="AD104" s="450"/>
      <c r="AE104" s="450"/>
      <c r="AF104" s="449"/>
      <c r="AG104" s="450"/>
    </row>
    <row r="105" spans="1:33">
      <c r="A105" s="71" t="s">
        <v>115</v>
      </c>
      <c r="B105" s="72" t="s">
        <v>137</v>
      </c>
      <c r="C105" s="75"/>
      <c r="D105" s="74">
        <v>137096</v>
      </c>
      <c r="E105" s="78">
        <v>7</v>
      </c>
      <c r="F105" s="447">
        <f t="shared" si="8"/>
        <v>310541</v>
      </c>
      <c r="G105" s="448">
        <f t="shared" si="9"/>
        <v>307780</v>
      </c>
      <c r="H105" s="449">
        <v>227771</v>
      </c>
      <c r="I105" s="460">
        <v>223246</v>
      </c>
      <c r="J105" s="449">
        <v>4020</v>
      </c>
      <c r="K105" s="460">
        <v>3703</v>
      </c>
      <c r="L105" s="449">
        <v>78750</v>
      </c>
      <c r="M105" s="449">
        <v>0</v>
      </c>
      <c r="N105" s="449">
        <v>0</v>
      </c>
      <c r="O105" s="460">
        <v>80831</v>
      </c>
      <c r="P105" s="460">
        <v>0</v>
      </c>
      <c r="Q105" s="460">
        <v>0</v>
      </c>
      <c r="R105" s="449">
        <v>0</v>
      </c>
      <c r="S105" s="460">
        <v>0</v>
      </c>
      <c r="T105" s="447">
        <f t="shared" si="10"/>
        <v>0</v>
      </c>
      <c r="U105" s="448">
        <f t="shared" si="11"/>
        <v>0</v>
      </c>
      <c r="V105" s="449"/>
      <c r="W105" s="450"/>
      <c r="X105" s="449"/>
      <c r="Y105" s="450"/>
      <c r="Z105" s="449"/>
      <c r="AA105" s="449"/>
      <c r="AB105" s="449"/>
      <c r="AC105" s="450"/>
      <c r="AD105" s="450"/>
      <c r="AE105" s="450"/>
      <c r="AF105" s="449"/>
      <c r="AG105" s="450"/>
    </row>
    <row r="106" spans="1:33">
      <c r="A106" s="71" t="s">
        <v>115</v>
      </c>
      <c r="B106" s="72" t="s">
        <v>138</v>
      </c>
      <c r="C106" s="75"/>
      <c r="D106" s="74">
        <v>137209</v>
      </c>
      <c r="E106" s="78">
        <v>7</v>
      </c>
      <c r="F106" s="447">
        <f t="shared" si="8"/>
        <v>338854</v>
      </c>
      <c r="G106" s="448">
        <f t="shared" si="9"/>
        <v>333440</v>
      </c>
      <c r="H106" s="449">
        <v>210550</v>
      </c>
      <c r="I106" s="460">
        <v>200378</v>
      </c>
      <c r="J106" s="449">
        <v>0</v>
      </c>
      <c r="K106" s="460">
        <v>0</v>
      </c>
      <c r="L106" s="449">
        <v>128304</v>
      </c>
      <c r="M106" s="449">
        <v>0</v>
      </c>
      <c r="N106" s="449">
        <v>0</v>
      </c>
      <c r="O106" s="460">
        <v>133062</v>
      </c>
      <c r="P106" s="460">
        <v>0</v>
      </c>
      <c r="Q106" s="460">
        <v>0</v>
      </c>
      <c r="R106" s="449">
        <v>0</v>
      </c>
      <c r="S106" s="460">
        <v>0</v>
      </c>
      <c r="T106" s="447">
        <f t="shared" si="10"/>
        <v>0</v>
      </c>
      <c r="U106" s="448">
        <f t="shared" si="11"/>
        <v>0</v>
      </c>
      <c r="V106" s="449"/>
      <c r="W106" s="450"/>
      <c r="X106" s="449"/>
      <c r="Y106" s="450"/>
      <c r="Z106" s="449"/>
      <c r="AA106" s="449"/>
      <c r="AB106" s="449"/>
      <c r="AC106" s="450"/>
      <c r="AD106" s="450"/>
      <c r="AE106" s="450"/>
      <c r="AF106" s="449"/>
      <c r="AG106" s="450"/>
    </row>
    <row r="107" spans="1:33">
      <c r="A107" s="71" t="s">
        <v>115</v>
      </c>
      <c r="B107" s="72" t="s">
        <v>139</v>
      </c>
      <c r="C107" s="76"/>
      <c r="D107" s="74">
        <v>137315</v>
      </c>
      <c r="E107" s="78">
        <v>7</v>
      </c>
      <c r="F107" s="447">
        <f t="shared" si="8"/>
        <v>48386</v>
      </c>
      <c r="G107" s="448">
        <f t="shared" si="9"/>
        <v>47891</v>
      </c>
      <c r="H107" s="449">
        <v>25116</v>
      </c>
      <c r="I107" s="460">
        <v>23874</v>
      </c>
      <c r="J107" s="449">
        <v>10347</v>
      </c>
      <c r="K107" s="460">
        <v>9312</v>
      </c>
      <c r="L107" s="449">
        <v>12872</v>
      </c>
      <c r="M107" s="449">
        <v>4</v>
      </c>
      <c r="N107" s="449">
        <v>47</v>
      </c>
      <c r="O107" s="460">
        <v>14673</v>
      </c>
      <c r="P107" s="460">
        <v>0</v>
      </c>
      <c r="Q107" s="460">
        <v>32</v>
      </c>
      <c r="R107" s="449">
        <v>0</v>
      </c>
      <c r="S107" s="460">
        <v>0</v>
      </c>
      <c r="T107" s="447">
        <f t="shared" si="10"/>
        <v>0</v>
      </c>
      <c r="U107" s="448">
        <f t="shared" si="11"/>
        <v>0</v>
      </c>
      <c r="V107" s="449"/>
      <c r="W107" s="450"/>
      <c r="X107" s="449"/>
      <c r="Y107" s="450"/>
      <c r="Z107" s="449"/>
      <c r="AA107" s="449"/>
      <c r="AB107" s="449"/>
      <c r="AC107" s="450"/>
      <c r="AD107" s="450"/>
      <c r="AE107" s="450"/>
      <c r="AF107" s="449"/>
      <c r="AG107" s="450"/>
    </row>
    <row r="108" spans="1:33">
      <c r="A108" s="71" t="s">
        <v>115</v>
      </c>
      <c r="B108" s="72" t="s">
        <v>140</v>
      </c>
      <c r="C108" s="73" t="s">
        <v>792</v>
      </c>
      <c r="D108" s="74">
        <v>137759</v>
      </c>
      <c r="E108" s="78">
        <v>8</v>
      </c>
      <c r="F108" s="447">
        <f t="shared" si="8"/>
        <v>265558</v>
      </c>
      <c r="G108" s="448">
        <f t="shared" si="9"/>
        <v>258952</v>
      </c>
      <c r="H108" s="449">
        <v>178837</v>
      </c>
      <c r="I108" s="460">
        <v>161103</v>
      </c>
      <c r="J108" s="449">
        <v>11853</v>
      </c>
      <c r="K108" s="460">
        <v>12346</v>
      </c>
      <c r="L108" s="449">
        <v>74868</v>
      </c>
      <c r="M108" s="449">
        <v>0</v>
      </c>
      <c r="N108" s="449">
        <v>0</v>
      </c>
      <c r="O108" s="460">
        <v>85503</v>
      </c>
      <c r="P108" s="460">
        <v>0</v>
      </c>
      <c r="Q108" s="460">
        <v>0</v>
      </c>
      <c r="R108" s="449">
        <v>0</v>
      </c>
      <c r="S108" s="460">
        <v>0</v>
      </c>
      <c r="T108" s="447">
        <f t="shared" si="10"/>
        <v>0</v>
      </c>
      <c r="U108" s="448">
        <f t="shared" si="11"/>
        <v>0</v>
      </c>
      <c r="V108" s="449"/>
      <c r="W108" s="450"/>
      <c r="X108" s="449"/>
      <c r="Y108" s="450"/>
      <c r="Z108" s="449"/>
      <c r="AA108" s="449"/>
      <c r="AB108" s="449"/>
      <c r="AC108" s="450"/>
      <c r="AD108" s="450"/>
      <c r="AE108" s="450"/>
      <c r="AF108" s="449"/>
      <c r="AG108" s="450"/>
    </row>
    <row r="109" spans="1:33">
      <c r="A109" s="71" t="s">
        <v>115</v>
      </c>
      <c r="B109" s="72" t="s">
        <v>141</v>
      </c>
      <c r="C109" s="76"/>
      <c r="D109" s="74">
        <v>138187</v>
      </c>
      <c r="E109" s="78">
        <v>7</v>
      </c>
      <c r="F109" s="447">
        <f t="shared" si="8"/>
        <v>944854</v>
      </c>
      <c r="G109" s="448">
        <f t="shared" si="9"/>
        <v>983930</v>
      </c>
      <c r="H109" s="449">
        <v>631666</v>
      </c>
      <c r="I109" s="460">
        <v>629921</v>
      </c>
      <c r="J109" s="449">
        <v>27641</v>
      </c>
      <c r="K109" s="460">
        <v>30164</v>
      </c>
      <c r="L109" s="449">
        <v>285547</v>
      </c>
      <c r="M109" s="449">
        <v>0</v>
      </c>
      <c r="N109" s="449">
        <v>0</v>
      </c>
      <c r="O109" s="460">
        <v>323845</v>
      </c>
      <c r="P109" s="460">
        <v>0</v>
      </c>
      <c r="Q109" s="460">
        <v>0</v>
      </c>
      <c r="R109" s="449">
        <v>0</v>
      </c>
      <c r="S109" s="460">
        <v>0</v>
      </c>
      <c r="T109" s="447">
        <f t="shared" si="10"/>
        <v>0</v>
      </c>
      <c r="U109" s="448">
        <f t="shared" si="11"/>
        <v>0</v>
      </c>
      <c r="V109" s="449"/>
      <c r="W109" s="450"/>
      <c r="X109" s="449"/>
      <c r="Y109" s="450"/>
      <c r="Z109" s="449"/>
      <c r="AA109" s="449"/>
      <c r="AB109" s="449"/>
      <c r="AC109" s="450"/>
      <c r="AD109" s="450"/>
      <c r="AE109" s="450"/>
      <c r="AF109" s="449"/>
      <c r="AG109" s="450"/>
    </row>
    <row r="110" spans="1:33">
      <c r="A110" s="79" t="s">
        <v>142</v>
      </c>
      <c r="B110" s="83" t="s">
        <v>759</v>
      </c>
      <c r="C110" s="81"/>
      <c r="D110" s="85">
        <v>139940</v>
      </c>
      <c r="E110" s="82">
        <v>1</v>
      </c>
      <c r="F110" s="447">
        <f t="shared" si="8"/>
        <v>1112833.5</v>
      </c>
      <c r="G110" s="448">
        <f t="shared" si="9"/>
        <v>1151269</v>
      </c>
      <c r="H110" s="449">
        <v>892341.5</v>
      </c>
      <c r="I110" s="450">
        <v>916908</v>
      </c>
      <c r="J110" s="449">
        <v>8007</v>
      </c>
      <c r="K110" s="450">
        <v>9589</v>
      </c>
      <c r="L110" s="449">
        <v>212485</v>
      </c>
      <c r="M110" s="449">
        <v>0</v>
      </c>
      <c r="N110" s="449">
        <v>0</v>
      </c>
      <c r="O110" s="450">
        <v>224772</v>
      </c>
      <c r="P110" s="450">
        <v>0</v>
      </c>
      <c r="Q110" s="450">
        <v>0</v>
      </c>
      <c r="R110" s="449">
        <v>0</v>
      </c>
      <c r="S110" s="450">
        <v>0</v>
      </c>
      <c r="T110" s="447">
        <f t="shared" si="10"/>
        <v>223137</v>
      </c>
      <c r="U110" s="448">
        <f t="shared" si="11"/>
        <v>225566</v>
      </c>
      <c r="V110" s="449">
        <v>119984.5</v>
      </c>
      <c r="W110" s="450">
        <v>119738.5</v>
      </c>
      <c r="X110" s="449">
        <v>87899</v>
      </c>
      <c r="Y110" s="450">
        <v>87822.5</v>
      </c>
      <c r="Z110" s="449">
        <v>15253.5</v>
      </c>
      <c r="AA110" s="449">
        <v>0</v>
      </c>
      <c r="AB110" s="449">
        <v>0</v>
      </c>
      <c r="AC110" s="450">
        <v>18005</v>
      </c>
      <c r="AD110" s="450">
        <v>0</v>
      </c>
      <c r="AE110" s="450">
        <v>0</v>
      </c>
      <c r="AF110" s="449">
        <v>0</v>
      </c>
      <c r="AG110" s="450">
        <v>0</v>
      </c>
    </row>
    <row r="111" spans="1:33">
      <c r="A111" s="79" t="s">
        <v>142</v>
      </c>
      <c r="B111" s="83" t="s">
        <v>143</v>
      </c>
      <c r="C111" s="81"/>
      <c r="D111" s="85">
        <v>139959</v>
      </c>
      <c r="E111" s="82">
        <v>1</v>
      </c>
      <c r="F111" s="447">
        <f t="shared" si="8"/>
        <v>849589.5</v>
      </c>
      <c r="G111" s="448">
        <f t="shared" si="9"/>
        <v>867177</v>
      </c>
      <c r="H111" s="449">
        <v>771468.5</v>
      </c>
      <c r="I111" s="450">
        <v>776197</v>
      </c>
      <c r="J111" s="449">
        <v>24111</v>
      </c>
      <c r="K111" s="450">
        <v>27861</v>
      </c>
      <c r="L111" s="449">
        <v>54010</v>
      </c>
      <c r="M111" s="449">
        <v>0</v>
      </c>
      <c r="N111" s="449">
        <v>0</v>
      </c>
      <c r="O111" s="450">
        <v>63119</v>
      </c>
      <c r="P111" s="450">
        <v>0</v>
      </c>
      <c r="Q111" s="450">
        <v>0</v>
      </c>
      <c r="R111" s="449">
        <v>0</v>
      </c>
      <c r="S111" s="450">
        <v>0</v>
      </c>
      <c r="T111" s="447">
        <f t="shared" si="10"/>
        <v>274717.90000000002</v>
      </c>
      <c r="U111" s="448">
        <f t="shared" si="11"/>
        <v>280577.2</v>
      </c>
      <c r="V111" s="449">
        <v>222339.6</v>
      </c>
      <c r="W111" s="450">
        <v>224762.5</v>
      </c>
      <c r="X111" s="449">
        <v>37534.800000000003</v>
      </c>
      <c r="Y111" s="450">
        <v>38742.199999999997</v>
      </c>
      <c r="Z111" s="449">
        <v>14843.5</v>
      </c>
      <c r="AA111" s="449">
        <v>0</v>
      </c>
      <c r="AB111" s="449">
        <v>0</v>
      </c>
      <c r="AC111" s="450">
        <v>17072.5</v>
      </c>
      <c r="AD111" s="450">
        <v>0</v>
      </c>
      <c r="AE111" s="450">
        <v>0</v>
      </c>
      <c r="AF111" s="449">
        <v>0</v>
      </c>
      <c r="AG111" s="450">
        <v>0</v>
      </c>
    </row>
    <row r="112" spans="1:33" s="27" customFormat="1" ht="13.5" customHeight="1">
      <c r="A112" s="79" t="s">
        <v>142</v>
      </c>
      <c r="B112" s="83" t="s">
        <v>144</v>
      </c>
      <c r="C112" s="81"/>
      <c r="D112" s="85">
        <v>139755</v>
      </c>
      <c r="E112" s="82">
        <v>2</v>
      </c>
      <c r="F112" s="447">
        <f t="shared" si="8"/>
        <v>448495</v>
      </c>
      <c r="G112" s="448">
        <f t="shared" si="9"/>
        <v>456127.53</v>
      </c>
      <c r="H112" s="449">
        <v>420703</v>
      </c>
      <c r="I112" s="450">
        <v>429129.53</v>
      </c>
      <c r="J112" s="449">
        <v>15600</v>
      </c>
      <c r="K112" s="450">
        <v>15922</v>
      </c>
      <c r="L112" s="449">
        <v>12192</v>
      </c>
      <c r="M112" s="449">
        <v>0</v>
      </c>
      <c r="N112" s="449">
        <v>0</v>
      </c>
      <c r="O112" s="450">
        <v>11076</v>
      </c>
      <c r="P112" s="450">
        <v>0</v>
      </c>
      <c r="Q112" s="450">
        <v>0</v>
      </c>
      <c r="R112" s="449">
        <v>0</v>
      </c>
      <c r="S112" s="450">
        <v>0</v>
      </c>
      <c r="T112" s="447">
        <f t="shared" si="10"/>
        <v>332827.5</v>
      </c>
      <c r="U112" s="448">
        <f t="shared" si="11"/>
        <v>375905.5</v>
      </c>
      <c r="V112" s="449">
        <v>243173.5</v>
      </c>
      <c r="W112" s="450">
        <v>248047.5</v>
      </c>
      <c r="X112" s="449">
        <v>2564</v>
      </c>
      <c r="Y112" s="450">
        <v>3066</v>
      </c>
      <c r="Z112" s="449">
        <v>87090</v>
      </c>
      <c r="AA112" s="449">
        <v>0</v>
      </c>
      <c r="AB112" s="449">
        <v>0</v>
      </c>
      <c r="AC112" s="450">
        <v>124792</v>
      </c>
      <c r="AD112" s="450">
        <v>0</v>
      </c>
      <c r="AE112" s="450">
        <v>0</v>
      </c>
      <c r="AF112" s="449">
        <v>0</v>
      </c>
      <c r="AG112" s="450">
        <v>0</v>
      </c>
    </row>
    <row r="113" spans="1:33">
      <c r="A113" s="79" t="s">
        <v>142</v>
      </c>
      <c r="B113" s="83" t="s">
        <v>145</v>
      </c>
      <c r="C113" s="390" t="s">
        <v>796</v>
      </c>
      <c r="D113" s="85">
        <v>139931</v>
      </c>
      <c r="E113" s="82">
        <v>3</v>
      </c>
      <c r="F113" s="447">
        <f t="shared" si="8"/>
        <v>658740</v>
      </c>
      <c r="G113" s="448">
        <f t="shared" si="9"/>
        <v>646339</v>
      </c>
      <c r="H113" s="449">
        <v>535887</v>
      </c>
      <c r="I113" s="450">
        <v>514903</v>
      </c>
      <c r="J113" s="449">
        <v>9192</v>
      </c>
      <c r="K113" s="450">
        <v>4884</v>
      </c>
      <c r="L113" s="449">
        <v>113543</v>
      </c>
      <c r="M113" s="449">
        <v>0</v>
      </c>
      <c r="N113" s="449">
        <v>118</v>
      </c>
      <c r="O113" s="450">
        <v>126459</v>
      </c>
      <c r="P113" s="450">
        <v>0</v>
      </c>
      <c r="Q113" s="450">
        <v>93</v>
      </c>
      <c r="R113" s="449">
        <v>0</v>
      </c>
      <c r="S113" s="450">
        <v>0</v>
      </c>
      <c r="T113" s="447">
        <f t="shared" si="10"/>
        <v>60765</v>
      </c>
      <c r="U113" s="448">
        <f t="shared" si="11"/>
        <v>61735</v>
      </c>
      <c r="V113" s="449">
        <v>27405</v>
      </c>
      <c r="W113" s="450">
        <v>25101</v>
      </c>
      <c r="X113" s="449">
        <v>750</v>
      </c>
      <c r="Y113" s="450">
        <v>717</v>
      </c>
      <c r="Z113" s="449">
        <v>32610</v>
      </c>
      <c r="AA113" s="449">
        <v>0</v>
      </c>
      <c r="AB113" s="449">
        <v>0</v>
      </c>
      <c r="AC113" s="450">
        <v>35911</v>
      </c>
      <c r="AD113" s="450">
        <v>0</v>
      </c>
      <c r="AE113" s="450">
        <v>6</v>
      </c>
      <c r="AF113" s="449">
        <v>0</v>
      </c>
      <c r="AG113" s="450">
        <v>0</v>
      </c>
    </row>
    <row r="114" spans="1:33">
      <c r="A114" s="79" t="s">
        <v>142</v>
      </c>
      <c r="B114" s="83" t="s">
        <v>146</v>
      </c>
      <c r="C114" s="390" t="s">
        <v>796</v>
      </c>
      <c r="D114" s="85">
        <v>486840</v>
      </c>
      <c r="E114" s="82">
        <v>3</v>
      </c>
      <c r="F114" s="447">
        <f t="shared" si="8"/>
        <v>865628</v>
      </c>
      <c r="G114" s="448">
        <f t="shared" si="9"/>
        <v>897521</v>
      </c>
      <c r="H114" s="449">
        <v>630086</v>
      </c>
      <c r="I114" s="450">
        <v>597289</v>
      </c>
      <c r="J114" s="449">
        <v>1246</v>
      </c>
      <c r="K114" s="450">
        <v>950</v>
      </c>
      <c r="L114" s="449">
        <v>234296</v>
      </c>
      <c r="M114" s="449">
        <v>0</v>
      </c>
      <c r="N114" s="449">
        <v>0</v>
      </c>
      <c r="O114" s="450">
        <v>299282</v>
      </c>
      <c r="P114" s="450">
        <v>0</v>
      </c>
      <c r="Q114" s="450">
        <v>0</v>
      </c>
      <c r="R114" s="449">
        <v>0</v>
      </c>
      <c r="S114" s="450">
        <v>0</v>
      </c>
      <c r="T114" s="447">
        <f t="shared" si="10"/>
        <v>54559</v>
      </c>
      <c r="U114" s="448">
        <f t="shared" si="11"/>
        <v>56400.1</v>
      </c>
      <c r="V114" s="449">
        <v>22046</v>
      </c>
      <c r="W114" s="450">
        <v>21377</v>
      </c>
      <c r="X114" s="449">
        <v>236</v>
      </c>
      <c r="Y114" s="450">
        <v>37</v>
      </c>
      <c r="Z114" s="449">
        <v>32277</v>
      </c>
      <c r="AA114" s="449">
        <v>0</v>
      </c>
      <c r="AB114" s="449">
        <v>0</v>
      </c>
      <c r="AC114" s="450">
        <v>34986.1</v>
      </c>
      <c r="AD114" s="450">
        <v>0</v>
      </c>
      <c r="AE114" s="450">
        <v>0</v>
      </c>
      <c r="AF114" s="449">
        <v>0</v>
      </c>
      <c r="AG114" s="450">
        <v>0</v>
      </c>
    </row>
    <row r="115" spans="1:33">
      <c r="A115" s="79" t="s">
        <v>142</v>
      </c>
      <c r="B115" s="83" t="s">
        <v>147</v>
      </c>
      <c r="C115" s="81"/>
      <c r="D115" s="85">
        <v>141334</v>
      </c>
      <c r="E115" s="82">
        <v>3</v>
      </c>
      <c r="F115" s="447">
        <f t="shared" si="8"/>
        <v>299840</v>
      </c>
      <c r="G115" s="448">
        <f t="shared" si="9"/>
        <v>288395</v>
      </c>
      <c r="H115" s="449">
        <v>185336</v>
      </c>
      <c r="I115" s="450">
        <v>167150</v>
      </c>
      <c r="J115" s="449">
        <v>11946</v>
      </c>
      <c r="K115" s="450">
        <v>13775</v>
      </c>
      <c r="L115" s="449">
        <v>102558</v>
      </c>
      <c r="M115" s="449">
        <v>0</v>
      </c>
      <c r="N115" s="449">
        <v>0</v>
      </c>
      <c r="O115" s="450">
        <v>107470</v>
      </c>
      <c r="P115" s="450">
        <v>0</v>
      </c>
      <c r="Q115" s="450">
        <v>0</v>
      </c>
      <c r="R115" s="449">
        <v>0</v>
      </c>
      <c r="S115" s="450">
        <v>0</v>
      </c>
      <c r="T115" s="447">
        <f t="shared" si="10"/>
        <v>43601</v>
      </c>
      <c r="U115" s="448">
        <f t="shared" si="11"/>
        <v>47340</v>
      </c>
      <c r="V115" s="449">
        <v>6361</v>
      </c>
      <c r="W115" s="450">
        <v>5526</v>
      </c>
      <c r="X115" s="449">
        <v>519</v>
      </c>
      <c r="Y115" s="450">
        <v>579</v>
      </c>
      <c r="Z115" s="449">
        <v>36721</v>
      </c>
      <c r="AA115" s="449">
        <v>0</v>
      </c>
      <c r="AB115" s="449">
        <v>0</v>
      </c>
      <c r="AC115" s="450">
        <v>41235</v>
      </c>
      <c r="AD115" s="450">
        <v>0</v>
      </c>
      <c r="AE115" s="450">
        <v>0</v>
      </c>
      <c r="AF115" s="449">
        <v>0</v>
      </c>
      <c r="AG115" s="450">
        <v>0</v>
      </c>
    </row>
    <row r="116" spans="1:33">
      <c r="A116" s="389" t="s">
        <v>142</v>
      </c>
      <c r="B116" s="83" t="s">
        <v>148</v>
      </c>
      <c r="C116" s="81"/>
      <c r="D116" s="85">
        <v>141264</v>
      </c>
      <c r="E116" s="82">
        <v>3</v>
      </c>
      <c r="F116" s="447">
        <f t="shared" si="8"/>
        <v>235745</v>
      </c>
      <c r="G116" s="448">
        <f t="shared" si="9"/>
        <v>233522</v>
      </c>
      <c r="H116" s="449">
        <v>181218</v>
      </c>
      <c r="I116" s="450">
        <v>175160</v>
      </c>
      <c r="J116" s="449">
        <v>1244</v>
      </c>
      <c r="K116" s="450">
        <v>1908</v>
      </c>
      <c r="L116" s="449">
        <v>53004</v>
      </c>
      <c r="M116" s="449">
        <v>279</v>
      </c>
      <c r="N116" s="449">
        <v>0</v>
      </c>
      <c r="O116" s="450">
        <v>56051</v>
      </c>
      <c r="P116" s="450">
        <v>403</v>
      </c>
      <c r="Q116" s="450">
        <v>0</v>
      </c>
      <c r="R116" s="449">
        <v>0</v>
      </c>
      <c r="S116" s="450">
        <v>0</v>
      </c>
      <c r="T116" s="447">
        <f t="shared" si="10"/>
        <v>44896</v>
      </c>
      <c r="U116" s="448">
        <f t="shared" si="11"/>
        <v>47024</v>
      </c>
      <c r="V116" s="449">
        <v>10665</v>
      </c>
      <c r="W116" s="450">
        <v>10589</v>
      </c>
      <c r="X116" s="449">
        <v>611</v>
      </c>
      <c r="Y116" s="450">
        <v>557</v>
      </c>
      <c r="Z116" s="449">
        <v>33605</v>
      </c>
      <c r="AA116" s="449">
        <v>15</v>
      </c>
      <c r="AB116" s="449">
        <v>0</v>
      </c>
      <c r="AC116" s="450">
        <v>35851</v>
      </c>
      <c r="AD116" s="450">
        <v>27</v>
      </c>
      <c r="AE116" s="450">
        <v>0</v>
      </c>
      <c r="AF116" s="449">
        <v>0</v>
      </c>
      <c r="AG116" s="450">
        <v>0</v>
      </c>
    </row>
    <row r="117" spans="1:33">
      <c r="A117" s="79" t="s">
        <v>142</v>
      </c>
      <c r="B117" s="83" t="s">
        <v>149</v>
      </c>
      <c r="C117" s="81"/>
      <c r="D117" s="85">
        <v>138716</v>
      </c>
      <c r="E117" s="82">
        <v>4</v>
      </c>
      <c r="F117" s="447">
        <f t="shared" si="8"/>
        <v>150811</v>
      </c>
      <c r="G117" s="448">
        <f t="shared" si="9"/>
        <v>151689</v>
      </c>
      <c r="H117" s="449">
        <v>102610</v>
      </c>
      <c r="I117" s="450">
        <v>101702</v>
      </c>
      <c r="J117" s="449">
        <v>2725</v>
      </c>
      <c r="K117" s="450">
        <v>2780</v>
      </c>
      <c r="L117" s="449">
        <v>45344</v>
      </c>
      <c r="M117" s="449">
        <v>1</v>
      </c>
      <c r="N117" s="449">
        <v>131</v>
      </c>
      <c r="O117" s="450">
        <v>46614</v>
      </c>
      <c r="P117" s="450">
        <v>65</v>
      </c>
      <c r="Q117" s="450">
        <v>528</v>
      </c>
      <c r="R117" s="449">
        <v>0</v>
      </c>
      <c r="S117" s="450">
        <v>0</v>
      </c>
      <c r="T117" s="447">
        <f t="shared" si="10"/>
        <v>6177</v>
      </c>
      <c r="U117" s="448">
        <f t="shared" si="11"/>
        <v>6300</v>
      </c>
      <c r="V117" s="449">
        <v>2581</v>
      </c>
      <c r="W117" s="450">
        <v>1864</v>
      </c>
      <c r="X117" s="449">
        <v>180</v>
      </c>
      <c r="Y117" s="450">
        <v>147</v>
      </c>
      <c r="Z117" s="449">
        <v>3416</v>
      </c>
      <c r="AA117" s="449">
        <v>0</v>
      </c>
      <c r="AB117" s="449">
        <v>0</v>
      </c>
      <c r="AC117" s="450">
        <v>4283</v>
      </c>
      <c r="AD117" s="450">
        <v>0</v>
      </c>
      <c r="AE117" s="450">
        <v>6</v>
      </c>
      <c r="AF117" s="449">
        <v>0</v>
      </c>
      <c r="AG117" s="450">
        <v>0</v>
      </c>
    </row>
    <row r="118" spans="1:33">
      <c r="A118" s="389" t="s">
        <v>142</v>
      </c>
      <c r="B118" s="80" t="s">
        <v>150</v>
      </c>
      <c r="C118" s="390" t="s">
        <v>760</v>
      </c>
      <c r="D118" s="85">
        <v>138789</v>
      </c>
      <c r="E118" s="82">
        <v>4</v>
      </c>
      <c r="F118" s="447">
        <f t="shared" si="8"/>
        <v>0</v>
      </c>
      <c r="G118" s="448">
        <f t="shared" si="9"/>
        <v>0</v>
      </c>
      <c r="H118" s="449"/>
      <c r="I118" s="450"/>
      <c r="J118" s="449"/>
      <c r="K118" s="450"/>
      <c r="L118" s="449"/>
      <c r="M118" s="449"/>
      <c r="N118" s="449"/>
      <c r="O118" s="450"/>
      <c r="P118" s="450"/>
      <c r="Q118" s="450"/>
      <c r="R118" s="449"/>
      <c r="S118" s="450"/>
      <c r="T118" s="447">
        <f t="shared" si="10"/>
        <v>0</v>
      </c>
      <c r="U118" s="448">
        <f t="shared" si="11"/>
        <v>0</v>
      </c>
      <c r="V118" s="449"/>
      <c r="W118" s="450"/>
      <c r="X118" s="449"/>
      <c r="Y118" s="450"/>
      <c r="Z118" s="449"/>
      <c r="AA118" s="449"/>
      <c r="AB118" s="449"/>
      <c r="AC118" s="450"/>
      <c r="AD118" s="450"/>
      <c r="AE118" s="450"/>
      <c r="AF118" s="449"/>
      <c r="AG118" s="450"/>
    </row>
    <row r="119" spans="1:33">
      <c r="A119" s="389" t="s">
        <v>142</v>
      </c>
      <c r="B119" s="80" t="s">
        <v>761</v>
      </c>
      <c r="C119" s="390"/>
      <c r="D119" s="85">
        <v>482149</v>
      </c>
      <c r="E119" s="82">
        <v>4</v>
      </c>
      <c r="F119" s="447">
        <f t="shared" si="8"/>
        <v>146254</v>
      </c>
      <c r="G119" s="448">
        <f t="shared" si="9"/>
        <v>151426</v>
      </c>
      <c r="H119" s="449">
        <v>123576</v>
      </c>
      <c r="I119" s="450">
        <v>125287</v>
      </c>
      <c r="J119" s="449">
        <v>2041</v>
      </c>
      <c r="K119" s="450">
        <v>1705</v>
      </c>
      <c r="L119" s="449">
        <v>20580</v>
      </c>
      <c r="M119" s="449">
        <v>0</v>
      </c>
      <c r="N119" s="449">
        <v>57</v>
      </c>
      <c r="O119" s="450">
        <v>24410</v>
      </c>
      <c r="P119" s="450">
        <v>0</v>
      </c>
      <c r="Q119" s="450">
        <v>24</v>
      </c>
      <c r="R119" s="449">
        <v>0</v>
      </c>
      <c r="S119" s="450">
        <v>0</v>
      </c>
      <c r="T119" s="447">
        <f t="shared" si="10"/>
        <v>196894</v>
      </c>
      <c r="U119" s="448">
        <f t="shared" si="11"/>
        <v>202899</v>
      </c>
      <c r="V119" s="449">
        <v>172323</v>
      </c>
      <c r="W119" s="450">
        <v>177366</v>
      </c>
      <c r="X119" s="449">
        <v>13170</v>
      </c>
      <c r="Y119" s="450">
        <v>12624</v>
      </c>
      <c r="Z119" s="449">
        <v>11401</v>
      </c>
      <c r="AA119" s="449">
        <v>0</v>
      </c>
      <c r="AB119" s="449">
        <v>0</v>
      </c>
      <c r="AC119" s="450">
        <v>12909</v>
      </c>
      <c r="AD119" s="450">
        <v>0</v>
      </c>
      <c r="AE119" s="450">
        <v>0</v>
      </c>
      <c r="AF119" s="449">
        <v>0</v>
      </c>
      <c r="AG119" s="450">
        <v>0</v>
      </c>
    </row>
    <row r="120" spans="1:33">
      <c r="A120" s="79" t="s">
        <v>142</v>
      </c>
      <c r="B120" s="83" t="s">
        <v>151</v>
      </c>
      <c r="C120" s="84"/>
      <c r="D120" s="85">
        <v>139311</v>
      </c>
      <c r="E120" s="82">
        <v>4</v>
      </c>
      <c r="F120" s="447">
        <f t="shared" si="8"/>
        <v>161028</v>
      </c>
      <c r="G120" s="448">
        <f t="shared" si="9"/>
        <v>158345</v>
      </c>
      <c r="H120" s="449">
        <v>102775</v>
      </c>
      <c r="I120" s="450">
        <v>96135</v>
      </c>
      <c r="J120" s="449">
        <v>2764</v>
      </c>
      <c r="K120" s="450">
        <v>2187</v>
      </c>
      <c r="L120" s="449">
        <v>55489</v>
      </c>
      <c r="M120" s="449">
        <v>0</v>
      </c>
      <c r="N120" s="449">
        <v>0</v>
      </c>
      <c r="O120" s="450">
        <v>60023</v>
      </c>
      <c r="P120" s="450">
        <v>0</v>
      </c>
      <c r="Q120" s="450">
        <v>0</v>
      </c>
      <c r="R120" s="449">
        <v>0</v>
      </c>
      <c r="S120" s="450">
        <v>0</v>
      </c>
      <c r="T120" s="447">
        <f t="shared" si="10"/>
        <v>7481</v>
      </c>
      <c r="U120" s="448">
        <f t="shared" si="11"/>
        <v>8883</v>
      </c>
      <c r="V120" s="449">
        <v>4691</v>
      </c>
      <c r="W120" s="450">
        <v>3953</v>
      </c>
      <c r="X120" s="449">
        <v>264</v>
      </c>
      <c r="Y120" s="450">
        <v>103</v>
      </c>
      <c r="Z120" s="449">
        <v>2526</v>
      </c>
      <c r="AA120" s="449">
        <v>0</v>
      </c>
      <c r="AB120" s="449">
        <v>0</v>
      </c>
      <c r="AC120" s="450">
        <v>4827</v>
      </c>
      <c r="AD120" s="450">
        <v>0</v>
      </c>
      <c r="AE120" s="450">
        <v>0</v>
      </c>
      <c r="AF120" s="449">
        <v>0</v>
      </c>
      <c r="AG120" s="450">
        <v>0</v>
      </c>
    </row>
    <row r="121" spans="1:33">
      <c r="A121" s="79" t="s">
        <v>142</v>
      </c>
      <c r="B121" s="83" t="s">
        <v>152</v>
      </c>
      <c r="C121" s="390" t="s">
        <v>782</v>
      </c>
      <c r="D121" s="85">
        <v>139366</v>
      </c>
      <c r="E121" s="82">
        <v>4</v>
      </c>
      <c r="F121" s="447">
        <f t="shared" si="8"/>
        <v>172063</v>
      </c>
      <c r="G121" s="448">
        <f t="shared" si="9"/>
        <v>170962</v>
      </c>
      <c r="H121" s="449">
        <v>128790</v>
      </c>
      <c r="I121" s="450">
        <v>123461</v>
      </c>
      <c r="J121" s="449">
        <v>5866</v>
      </c>
      <c r="K121" s="450">
        <v>8298</v>
      </c>
      <c r="L121" s="449">
        <v>37288</v>
      </c>
      <c r="M121" s="449">
        <v>119</v>
      </c>
      <c r="N121" s="449">
        <v>0</v>
      </c>
      <c r="O121" s="450">
        <v>39203</v>
      </c>
      <c r="P121" s="450">
        <v>0</v>
      </c>
      <c r="Q121" s="450">
        <v>0</v>
      </c>
      <c r="R121" s="449">
        <v>0</v>
      </c>
      <c r="S121" s="450">
        <v>0</v>
      </c>
      <c r="T121" s="447">
        <f t="shared" si="10"/>
        <v>26828</v>
      </c>
      <c r="U121" s="448">
        <f t="shared" si="11"/>
        <v>24713</v>
      </c>
      <c r="V121" s="449">
        <v>10147</v>
      </c>
      <c r="W121" s="450">
        <v>7588</v>
      </c>
      <c r="X121" s="449">
        <v>704</v>
      </c>
      <c r="Y121" s="450">
        <v>532</v>
      </c>
      <c r="Z121" s="449">
        <v>15977</v>
      </c>
      <c r="AA121" s="449">
        <v>0</v>
      </c>
      <c r="AB121" s="449">
        <v>0</v>
      </c>
      <c r="AC121" s="450">
        <v>16593</v>
      </c>
      <c r="AD121" s="450">
        <v>0</v>
      </c>
      <c r="AE121" s="450">
        <v>0</v>
      </c>
      <c r="AF121" s="449">
        <v>0</v>
      </c>
      <c r="AG121" s="450">
        <v>0</v>
      </c>
    </row>
    <row r="122" spans="1:33">
      <c r="A122" s="79" t="s">
        <v>142</v>
      </c>
      <c r="B122" s="83" t="s">
        <v>153</v>
      </c>
      <c r="C122" s="390" t="s">
        <v>797</v>
      </c>
      <c r="D122" s="85">
        <v>139719</v>
      </c>
      <c r="E122" s="82">
        <v>4</v>
      </c>
      <c r="F122" s="447">
        <f t="shared" si="8"/>
        <v>69971</v>
      </c>
      <c r="G122" s="448">
        <f t="shared" si="9"/>
        <v>68018</v>
      </c>
      <c r="H122" s="449">
        <v>56852</v>
      </c>
      <c r="I122" s="450">
        <v>55227</v>
      </c>
      <c r="J122" s="449">
        <v>135</v>
      </c>
      <c r="K122" s="450">
        <v>120</v>
      </c>
      <c r="L122" s="449">
        <v>11880</v>
      </c>
      <c r="M122" s="449">
        <v>0</v>
      </c>
      <c r="N122" s="449">
        <v>1104</v>
      </c>
      <c r="O122" s="450">
        <v>11818</v>
      </c>
      <c r="P122" s="450">
        <v>0</v>
      </c>
      <c r="Q122" s="450">
        <v>853</v>
      </c>
      <c r="R122" s="449">
        <v>0</v>
      </c>
      <c r="S122" s="450">
        <v>0</v>
      </c>
      <c r="T122" s="447">
        <f t="shared" si="10"/>
        <v>6865</v>
      </c>
      <c r="U122" s="448">
        <f t="shared" si="11"/>
        <v>6372</v>
      </c>
      <c r="V122" s="449">
        <v>5813</v>
      </c>
      <c r="W122" s="450">
        <v>4783</v>
      </c>
      <c r="X122" s="449">
        <v>0</v>
      </c>
      <c r="Y122" s="450">
        <v>0</v>
      </c>
      <c r="Z122" s="449">
        <v>992</v>
      </c>
      <c r="AA122" s="449">
        <v>0</v>
      </c>
      <c r="AB122" s="449">
        <v>60</v>
      </c>
      <c r="AC122" s="450">
        <v>1537</v>
      </c>
      <c r="AD122" s="450">
        <v>0</v>
      </c>
      <c r="AE122" s="450">
        <v>52</v>
      </c>
      <c r="AF122" s="449">
        <v>0</v>
      </c>
      <c r="AG122" s="450">
        <v>0</v>
      </c>
    </row>
    <row r="123" spans="1:33">
      <c r="A123" s="79" t="s">
        <v>142</v>
      </c>
      <c r="B123" s="83" t="s">
        <v>154</v>
      </c>
      <c r="C123" s="81"/>
      <c r="D123" s="85">
        <v>139861</v>
      </c>
      <c r="E123" s="82">
        <v>4</v>
      </c>
      <c r="F123" s="447">
        <f t="shared" si="8"/>
        <v>177821.5</v>
      </c>
      <c r="G123" s="448">
        <f t="shared" si="9"/>
        <v>177097</v>
      </c>
      <c r="H123" s="449">
        <v>159725.5</v>
      </c>
      <c r="I123" s="450">
        <v>157960</v>
      </c>
      <c r="J123" s="449">
        <v>2739</v>
      </c>
      <c r="K123" s="450">
        <v>1908</v>
      </c>
      <c r="L123" s="449">
        <v>15357</v>
      </c>
      <c r="M123" s="449">
        <v>0</v>
      </c>
      <c r="N123" s="449">
        <v>0</v>
      </c>
      <c r="O123" s="450">
        <v>17229</v>
      </c>
      <c r="P123" s="450">
        <v>0</v>
      </c>
      <c r="Q123" s="450">
        <v>0</v>
      </c>
      <c r="R123" s="449">
        <v>0</v>
      </c>
      <c r="S123" s="450">
        <v>0</v>
      </c>
      <c r="T123" s="447">
        <f t="shared" si="10"/>
        <v>20696.5</v>
      </c>
      <c r="U123" s="448">
        <f t="shared" si="11"/>
        <v>23185</v>
      </c>
      <c r="V123" s="449">
        <v>3353.5</v>
      </c>
      <c r="W123" s="450">
        <v>3466</v>
      </c>
      <c r="X123" s="449">
        <v>574</v>
      </c>
      <c r="Y123" s="450">
        <v>384</v>
      </c>
      <c r="Z123" s="449">
        <v>16769</v>
      </c>
      <c r="AA123" s="449">
        <v>0</v>
      </c>
      <c r="AB123" s="449">
        <v>0</v>
      </c>
      <c r="AC123" s="450">
        <v>19335</v>
      </c>
      <c r="AD123" s="450">
        <v>0</v>
      </c>
      <c r="AE123" s="450">
        <v>0</v>
      </c>
      <c r="AF123" s="449">
        <v>0</v>
      </c>
      <c r="AG123" s="450">
        <v>0</v>
      </c>
    </row>
    <row r="124" spans="1:33">
      <c r="A124" s="79" t="s">
        <v>142</v>
      </c>
      <c r="B124" s="83" t="s">
        <v>156</v>
      </c>
      <c r="C124" s="390" t="s">
        <v>784</v>
      </c>
      <c r="D124" s="85">
        <v>139764</v>
      </c>
      <c r="E124" s="82">
        <v>4</v>
      </c>
      <c r="F124" s="447">
        <f t="shared" si="8"/>
        <v>64680</v>
      </c>
      <c r="G124" s="448">
        <f t="shared" si="9"/>
        <v>63291</v>
      </c>
      <c r="H124" s="449">
        <v>41870</v>
      </c>
      <c r="I124" s="450">
        <v>39185</v>
      </c>
      <c r="J124" s="449">
        <v>1750</v>
      </c>
      <c r="K124" s="450">
        <v>1327</v>
      </c>
      <c r="L124" s="449">
        <v>21060</v>
      </c>
      <c r="M124" s="449">
        <v>0</v>
      </c>
      <c r="N124" s="449">
        <v>0</v>
      </c>
      <c r="O124" s="450">
        <v>22779</v>
      </c>
      <c r="P124" s="450">
        <v>0</v>
      </c>
      <c r="Q124" s="450">
        <v>0</v>
      </c>
      <c r="R124" s="449">
        <v>0</v>
      </c>
      <c r="S124" s="450">
        <v>0</v>
      </c>
      <c r="T124" s="447">
        <f t="shared" si="10"/>
        <v>10339</v>
      </c>
      <c r="U124" s="448">
        <f t="shared" si="11"/>
        <v>10484</v>
      </c>
      <c r="V124" s="449">
        <v>4405</v>
      </c>
      <c r="W124" s="450">
        <v>4230</v>
      </c>
      <c r="X124" s="449">
        <v>714</v>
      </c>
      <c r="Y124" s="450">
        <v>234</v>
      </c>
      <c r="Z124" s="449">
        <v>5220</v>
      </c>
      <c r="AA124" s="449">
        <v>0</v>
      </c>
      <c r="AB124" s="449">
        <v>0</v>
      </c>
      <c r="AC124" s="450">
        <v>6020</v>
      </c>
      <c r="AD124" s="450">
        <v>0</v>
      </c>
      <c r="AE124" s="450">
        <v>0</v>
      </c>
      <c r="AF124" s="449">
        <v>0</v>
      </c>
      <c r="AG124" s="450">
        <v>0</v>
      </c>
    </row>
    <row r="125" spans="1:33">
      <c r="A125" s="79" t="s">
        <v>142</v>
      </c>
      <c r="B125" s="83" t="s">
        <v>155</v>
      </c>
      <c r="C125" s="81"/>
      <c r="D125" s="85">
        <v>482680</v>
      </c>
      <c r="E125" s="82">
        <v>4</v>
      </c>
      <c r="F125" s="447">
        <f t="shared" si="8"/>
        <v>458686</v>
      </c>
      <c r="G125" s="448">
        <f t="shared" si="9"/>
        <v>463050</v>
      </c>
      <c r="H125" s="449">
        <v>393591</v>
      </c>
      <c r="I125" s="450">
        <v>384108</v>
      </c>
      <c r="J125" s="449">
        <v>5524</v>
      </c>
      <c r="K125" s="450">
        <v>8254</v>
      </c>
      <c r="L125" s="449">
        <v>59571</v>
      </c>
      <c r="M125" s="449">
        <v>0</v>
      </c>
      <c r="N125" s="449">
        <v>0</v>
      </c>
      <c r="O125" s="450">
        <v>70688</v>
      </c>
      <c r="P125" s="450">
        <v>0</v>
      </c>
      <c r="Q125" s="450">
        <v>0</v>
      </c>
      <c r="R125" s="449">
        <v>0</v>
      </c>
      <c r="S125" s="450">
        <v>0</v>
      </c>
      <c r="T125" s="447">
        <f t="shared" si="10"/>
        <v>14308</v>
      </c>
      <c r="U125" s="448">
        <f t="shared" si="11"/>
        <v>14938</v>
      </c>
      <c r="V125" s="449">
        <v>8495</v>
      </c>
      <c r="W125" s="450">
        <v>8145</v>
      </c>
      <c r="X125" s="449">
        <v>1133</v>
      </c>
      <c r="Y125" s="450">
        <v>927</v>
      </c>
      <c r="Z125" s="449">
        <v>4680</v>
      </c>
      <c r="AA125" s="449">
        <v>0</v>
      </c>
      <c r="AB125" s="449">
        <v>0</v>
      </c>
      <c r="AC125" s="450">
        <v>5866</v>
      </c>
      <c r="AD125" s="450">
        <v>0</v>
      </c>
      <c r="AE125" s="450">
        <v>0</v>
      </c>
      <c r="AF125" s="449">
        <v>0</v>
      </c>
      <c r="AG125" s="450">
        <v>0</v>
      </c>
    </row>
    <row r="126" spans="1:33">
      <c r="A126" s="79" t="s">
        <v>142</v>
      </c>
      <c r="B126" s="83" t="s">
        <v>157</v>
      </c>
      <c r="C126" s="81"/>
      <c r="D126" s="85">
        <v>140960</v>
      </c>
      <c r="E126" s="82">
        <v>5</v>
      </c>
      <c r="F126" s="447">
        <f t="shared" si="8"/>
        <v>117463</v>
      </c>
      <c r="G126" s="448">
        <f t="shared" si="9"/>
        <v>103628</v>
      </c>
      <c r="H126" s="449">
        <v>100202</v>
      </c>
      <c r="I126" s="450">
        <v>83331</v>
      </c>
      <c r="J126" s="449">
        <v>273</v>
      </c>
      <c r="K126" s="450">
        <v>216</v>
      </c>
      <c r="L126" s="449">
        <v>16988</v>
      </c>
      <c r="M126" s="449">
        <v>0</v>
      </c>
      <c r="N126" s="449">
        <v>0</v>
      </c>
      <c r="O126" s="450">
        <v>20081</v>
      </c>
      <c r="P126" s="450">
        <v>0</v>
      </c>
      <c r="Q126" s="450">
        <v>0</v>
      </c>
      <c r="R126" s="449">
        <v>0</v>
      </c>
      <c r="S126" s="450">
        <v>0</v>
      </c>
      <c r="T126" s="447">
        <f t="shared" si="10"/>
        <v>3734</v>
      </c>
      <c r="U126" s="448">
        <f t="shared" si="11"/>
        <v>3681</v>
      </c>
      <c r="V126" s="449">
        <v>1577</v>
      </c>
      <c r="W126" s="450">
        <v>1569</v>
      </c>
      <c r="X126" s="449">
        <v>1320</v>
      </c>
      <c r="Y126" s="450">
        <v>1404</v>
      </c>
      <c r="Z126" s="449">
        <v>837</v>
      </c>
      <c r="AA126" s="449">
        <v>0</v>
      </c>
      <c r="AB126" s="449">
        <v>0</v>
      </c>
      <c r="AC126" s="450">
        <v>708</v>
      </c>
      <c r="AD126" s="450">
        <v>0</v>
      </c>
      <c r="AE126" s="450">
        <v>0</v>
      </c>
      <c r="AF126" s="449">
        <v>0</v>
      </c>
      <c r="AG126" s="450">
        <v>0</v>
      </c>
    </row>
    <row r="127" spans="1:33">
      <c r="A127" s="79" t="s">
        <v>142</v>
      </c>
      <c r="B127" s="83" t="s">
        <v>158</v>
      </c>
      <c r="C127" s="84"/>
      <c r="D127" s="85">
        <v>139250</v>
      </c>
      <c r="E127" s="391">
        <v>6</v>
      </c>
      <c r="F127" s="447">
        <f t="shared" si="8"/>
        <v>83776</v>
      </c>
      <c r="G127" s="448">
        <f t="shared" si="9"/>
        <v>83041</v>
      </c>
      <c r="H127" s="449">
        <v>60799</v>
      </c>
      <c r="I127" s="450">
        <v>59017</v>
      </c>
      <c r="J127" s="449">
        <v>464</v>
      </c>
      <c r="K127" s="450">
        <v>928</v>
      </c>
      <c r="L127" s="449">
        <v>22513</v>
      </c>
      <c r="M127" s="449">
        <v>0</v>
      </c>
      <c r="N127" s="449">
        <v>0</v>
      </c>
      <c r="O127" s="450">
        <v>23096</v>
      </c>
      <c r="P127" s="450">
        <v>0</v>
      </c>
      <c r="Q127" s="450">
        <v>0</v>
      </c>
      <c r="R127" s="449">
        <v>0</v>
      </c>
      <c r="S127" s="450">
        <v>0</v>
      </c>
      <c r="T127" s="447">
        <f t="shared" si="10"/>
        <v>0</v>
      </c>
      <c r="U127" s="448">
        <f t="shared" si="11"/>
        <v>0</v>
      </c>
      <c r="V127" s="449"/>
      <c r="W127" s="450"/>
      <c r="X127" s="449"/>
      <c r="Y127" s="450"/>
      <c r="Z127" s="449"/>
      <c r="AA127" s="449"/>
      <c r="AB127" s="449"/>
      <c r="AC127" s="450"/>
      <c r="AD127" s="450"/>
      <c r="AE127" s="450"/>
      <c r="AF127" s="449"/>
      <c r="AG127" s="450"/>
    </row>
    <row r="128" spans="1:33">
      <c r="A128" s="79" t="s">
        <v>142</v>
      </c>
      <c r="B128" s="83" t="s">
        <v>159</v>
      </c>
      <c r="C128" s="84"/>
      <c r="D128" s="85">
        <v>139463</v>
      </c>
      <c r="E128" s="82">
        <v>6</v>
      </c>
      <c r="F128" s="447">
        <f t="shared" si="8"/>
        <v>121843</v>
      </c>
      <c r="G128" s="448">
        <f t="shared" si="9"/>
        <v>118623</v>
      </c>
      <c r="H128" s="449">
        <v>99398</v>
      </c>
      <c r="I128" s="450">
        <v>97495</v>
      </c>
      <c r="J128" s="449">
        <v>6619</v>
      </c>
      <c r="K128" s="450">
        <v>4950</v>
      </c>
      <c r="L128" s="449">
        <v>15826</v>
      </c>
      <c r="M128" s="449">
        <v>0</v>
      </c>
      <c r="N128" s="449">
        <v>0</v>
      </c>
      <c r="O128" s="450">
        <v>16178</v>
      </c>
      <c r="P128" s="450">
        <v>0</v>
      </c>
      <c r="Q128" s="450">
        <v>0</v>
      </c>
      <c r="R128" s="449">
        <v>0</v>
      </c>
      <c r="S128" s="450">
        <v>0</v>
      </c>
      <c r="T128" s="447">
        <f t="shared" si="10"/>
        <v>0</v>
      </c>
      <c r="U128" s="448">
        <f t="shared" si="11"/>
        <v>0</v>
      </c>
      <c r="V128" s="449"/>
      <c r="W128" s="450"/>
      <c r="X128" s="449"/>
      <c r="Y128" s="450"/>
      <c r="Z128" s="449"/>
      <c r="AA128" s="449"/>
      <c r="AB128" s="449"/>
      <c r="AC128" s="450"/>
      <c r="AD128" s="450"/>
      <c r="AE128" s="450"/>
      <c r="AF128" s="449"/>
      <c r="AG128" s="450"/>
    </row>
    <row r="129" spans="1:33">
      <c r="A129" s="79" t="s">
        <v>142</v>
      </c>
      <c r="B129" s="83" t="s">
        <v>160</v>
      </c>
      <c r="C129" s="84"/>
      <c r="D129" s="85">
        <v>447689</v>
      </c>
      <c r="E129" s="82">
        <v>6</v>
      </c>
      <c r="F129" s="447">
        <f t="shared" si="8"/>
        <v>306863</v>
      </c>
      <c r="G129" s="448">
        <f t="shared" si="9"/>
        <v>312109</v>
      </c>
      <c r="H129" s="449">
        <v>299433</v>
      </c>
      <c r="I129" s="450">
        <v>302651</v>
      </c>
      <c r="J129" s="449">
        <v>209</v>
      </c>
      <c r="K129" s="450">
        <v>801</v>
      </c>
      <c r="L129" s="449">
        <v>7221</v>
      </c>
      <c r="M129" s="449">
        <v>0</v>
      </c>
      <c r="N129" s="449">
        <v>0</v>
      </c>
      <c r="O129" s="450">
        <v>8657</v>
      </c>
      <c r="P129" s="450">
        <v>0</v>
      </c>
      <c r="Q129" s="450">
        <v>0</v>
      </c>
      <c r="R129" s="449">
        <v>0</v>
      </c>
      <c r="S129" s="450">
        <v>0</v>
      </c>
      <c r="T129" s="447">
        <f t="shared" si="10"/>
        <v>0</v>
      </c>
      <c r="U129" s="448">
        <f t="shared" si="11"/>
        <v>0</v>
      </c>
      <c r="V129" s="449"/>
      <c r="W129" s="450"/>
      <c r="X129" s="449"/>
      <c r="Y129" s="450"/>
      <c r="Z129" s="449"/>
      <c r="AA129" s="449"/>
      <c r="AB129" s="449"/>
      <c r="AC129" s="450"/>
      <c r="AD129" s="450"/>
      <c r="AE129" s="450"/>
      <c r="AF129" s="449"/>
      <c r="AG129" s="450"/>
    </row>
    <row r="130" spans="1:33">
      <c r="A130" s="79" t="s">
        <v>142</v>
      </c>
      <c r="B130" s="83" t="s">
        <v>161</v>
      </c>
      <c r="C130" s="390" t="s">
        <v>797</v>
      </c>
      <c r="D130" s="85">
        <v>482158</v>
      </c>
      <c r="E130" s="82">
        <v>6</v>
      </c>
      <c r="F130" s="447">
        <f t="shared" si="8"/>
        <v>180637</v>
      </c>
      <c r="G130" s="448">
        <f t="shared" si="9"/>
        <v>185924</v>
      </c>
      <c r="H130" s="449">
        <v>110070</v>
      </c>
      <c r="I130" s="450">
        <v>105465</v>
      </c>
      <c r="J130" s="449">
        <v>1324</v>
      </c>
      <c r="K130" s="450">
        <v>1453</v>
      </c>
      <c r="L130" s="449">
        <v>67916</v>
      </c>
      <c r="M130" s="449">
        <v>1327</v>
      </c>
      <c r="N130" s="449">
        <v>0</v>
      </c>
      <c r="O130" s="450">
        <v>77984</v>
      </c>
      <c r="P130" s="450">
        <v>1022</v>
      </c>
      <c r="Q130" s="450">
        <v>0</v>
      </c>
      <c r="R130" s="449">
        <v>0</v>
      </c>
      <c r="S130" s="450">
        <v>0</v>
      </c>
      <c r="T130" s="447">
        <f t="shared" si="10"/>
        <v>3639</v>
      </c>
      <c r="U130" s="448">
        <f t="shared" si="11"/>
        <v>4734</v>
      </c>
      <c r="V130" s="449">
        <v>345</v>
      </c>
      <c r="W130" s="450">
        <v>141</v>
      </c>
      <c r="X130" s="449">
        <v>84</v>
      </c>
      <c r="Y130" s="450">
        <v>120</v>
      </c>
      <c r="Z130" s="449">
        <v>3210</v>
      </c>
      <c r="AA130" s="449">
        <v>0</v>
      </c>
      <c r="AB130" s="449">
        <v>0</v>
      </c>
      <c r="AC130" s="450">
        <v>4473</v>
      </c>
      <c r="AD130" s="450">
        <v>0</v>
      </c>
      <c r="AE130" s="450">
        <v>0</v>
      </c>
      <c r="AF130" s="449">
        <v>0</v>
      </c>
      <c r="AG130" s="450">
        <v>0</v>
      </c>
    </row>
    <row r="131" spans="1:33">
      <c r="A131" s="79" t="s">
        <v>142</v>
      </c>
      <c r="B131" s="83" t="s">
        <v>162</v>
      </c>
      <c r="C131" s="84" t="s">
        <v>798</v>
      </c>
      <c r="D131" s="85">
        <v>138558</v>
      </c>
      <c r="E131" s="461">
        <v>6</v>
      </c>
      <c r="F131" s="447">
        <f t="shared" si="8"/>
        <v>111796</v>
      </c>
      <c r="G131" s="448">
        <f t="shared" si="9"/>
        <v>97639</v>
      </c>
      <c r="H131" s="449">
        <v>89100</v>
      </c>
      <c r="I131" s="450">
        <v>81705</v>
      </c>
      <c r="J131" s="449">
        <v>6909</v>
      </c>
      <c r="K131" s="450">
        <v>3508</v>
      </c>
      <c r="L131" s="449">
        <v>15787</v>
      </c>
      <c r="M131" s="449">
        <v>0</v>
      </c>
      <c r="N131" s="449">
        <v>0</v>
      </c>
      <c r="O131" s="450">
        <v>12426</v>
      </c>
      <c r="P131" s="450">
        <v>0</v>
      </c>
      <c r="Q131" s="450">
        <v>0</v>
      </c>
      <c r="R131" s="449">
        <v>0</v>
      </c>
      <c r="S131" s="450">
        <v>0</v>
      </c>
      <c r="T131" s="447">
        <f t="shared" si="10"/>
        <v>0</v>
      </c>
      <c r="U131" s="448">
        <f t="shared" si="11"/>
        <v>0</v>
      </c>
      <c r="V131" s="449"/>
      <c r="W131" s="450"/>
      <c r="X131" s="449"/>
      <c r="Y131" s="450"/>
      <c r="Z131" s="449"/>
      <c r="AA131" s="449"/>
      <c r="AB131" s="449"/>
      <c r="AC131" s="450"/>
      <c r="AD131" s="450"/>
      <c r="AE131" s="450"/>
      <c r="AF131" s="449"/>
      <c r="AG131" s="450"/>
    </row>
    <row r="132" spans="1:33">
      <c r="A132" s="79" t="s">
        <v>142</v>
      </c>
      <c r="B132" s="83" t="s">
        <v>163</v>
      </c>
      <c r="C132" s="84"/>
      <c r="D132" s="85">
        <v>138901</v>
      </c>
      <c r="E132" s="391">
        <v>7</v>
      </c>
      <c r="F132" s="447">
        <f t="shared" si="8"/>
        <v>51417</v>
      </c>
      <c r="G132" s="448">
        <f t="shared" si="9"/>
        <v>44035</v>
      </c>
      <c r="H132" s="449">
        <v>36668</v>
      </c>
      <c r="I132" s="450">
        <v>29646</v>
      </c>
      <c r="J132" s="449">
        <v>1352</v>
      </c>
      <c r="K132" s="450">
        <v>2469</v>
      </c>
      <c r="L132" s="449">
        <v>13397</v>
      </c>
      <c r="M132" s="449">
        <v>0</v>
      </c>
      <c r="N132" s="449">
        <v>0</v>
      </c>
      <c r="O132" s="450">
        <v>11920</v>
      </c>
      <c r="P132" s="450">
        <v>0</v>
      </c>
      <c r="Q132" s="450">
        <v>0</v>
      </c>
      <c r="R132" s="449">
        <v>0</v>
      </c>
      <c r="S132" s="450">
        <v>0</v>
      </c>
      <c r="T132" s="447">
        <f t="shared" si="10"/>
        <v>0</v>
      </c>
      <c r="U132" s="448">
        <f t="shared" si="11"/>
        <v>0</v>
      </c>
      <c r="V132" s="449"/>
      <c r="W132" s="450"/>
      <c r="X132" s="449"/>
      <c r="Y132" s="450"/>
      <c r="Z132" s="449"/>
      <c r="AA132" s="449"/>
      <c r="AB132" s="449"/>
      <c r="AC132" s="450"/>
      <c r="AD132" s="450"/>
      <c r="AE132" s="450"/>
      <c r="AF132" s="449"/>
      <c r="AG132" s="450"/>
    </row>
    <row r="133" spans="1:33">
      <c r="A133" s="79" t="s">
        <v>142</v>
      </c>
      <c r="B133" s="83" t="s">
        <v>164</v>
      </c>
      <c r="C133" s="84"/>
      <c r="D133" s="85">
        <v>139621</v>
      </c>
      <c r="E133" s="391">
        <v>7</v>
      </c>
      <c r="F133" s="447">
        <f t="shared" si="8"/>
        <v>68856</v>
      </c>
      <c r="G133" s="448">
        <f t="shared" si="9"/>
        <v>66138</v>
      </c>
      <c r="H133" s="449">
        <v>35717</v>
      </c>
      <c r="I133" s="450">
        <v>33961</v>
      </c>
      <c r="J133" s="449">
        <v>12088</v>
      </c>
      <c r="K133" s="450">
        <v>9920</v>
      </c>
      <c r="L133" s="449">
        <v>21051</v>
      </c>
      <c r="M133" s="449">
        <v>0</v>
      </c>
      <c r="N133" s="449">
        <v>0</v>
      </c>
      <c r="O133" s="450">
        <v>22257</v>
      </c>
      <c r="P133" s="450">
        <v>0</v>
      </c>
      <c r="Q133" s="450">
        <v>0</v>
      </c>
      <c r="R133" s="449">
        <v>0</v>
      </c>
      <c r="S133" s="450">
        <v>0</v>
      </c>
      <c r="T133" s="447">
        <f t="shared" si="10"/>
        <v>0</v>
      </c>
      <c r="U133" s="448">
        <f t="shared" si="11"/>
        <v>0</v>
      </c>
      <c r="V133" s="449"/>
      <c r="W133" s="450"/>
      <c r="X133" s="449"/>
      <c r="Y133" s="450"/>
      <c r="Z133" s="449"/>
      <c r="AA133" s="449"/>
      <c r="AB133" s="449"/>
      <c r="AC133" s="450"/>
      <c r="AD133" s="450"/>
      <c r="AE133" s="450"/>
      <c r="AF133" s="449"/>
      <c r="AG133" s="450"/>
    </row>
    <row r="134" spans="1:33">
      <c r="A134" s="79" t="s">
        <v>142</v>
      </c>
      <c r="B134" s="83" t="s">
        <v>165</v>
      </c>
      <c r="C134" s="84"/>
      <c r="D134" s="85">
        <v>139700</v>
      </c>
      <c r="E134" s="391">
        <v>7</v>
      </c>
      <c r="F134" s="447">
        <f t="shared" si="8"/>
        <v>134665</v>
      </c>
      <c r="G134" s="448">
        <f t="shared" si="9"/>
        <v>132863</v>
      </c>
      <c r="H134" s="449">
        <v>77725</v>
      </c>
      <c r="I134" s="450">
        <v>75119</v>
      </c>
      <c r="J134" s="449">
        <v>19951</v>
      </c>
      <c r="K134" s="450">
        <v>22988</v>
      </c>
      <c r="L134" s="449">
        <v>36989</v>
      </c>
      <c r="M134" s="449">
        <v>0</v>
      </c>
      <c r="N134" s="449">
        <v>0</v>
      </c>
      <c r="O134" s="450">
        <v>34756</v>
      </c>
      <c r="P134" s="450">
        <v>0</v>
      </c>
      <c r="Q134" s="450">
        <v>0</v>
      </c>
      <c r="R134" s="449">
        <v>0</v>
      </c>
      <c r="S134" s="450">
        <v>0</v>
      </c>
      <c r="T134" s="447">
        <f t="shared" si="10"/>
        <v>0</v>
      </c>
      <c r="U134" s="448">
        <f t="shared" si="11"/>
        <v>0</v>
      </c>
      <c r="V134" s="449"/>
      <c r="W134" s="450"/>
      <c r="X134" s="449"/>
      <c r="Y134" s="450"/>
      <c r="Z134" s="449"/>
      <c r="AA134" s="449"/>
      <c r="AB134" s="449"/>
      <c r="AC134" s="450"/>
      <c r="AD134" s="450"/>
      <c r="AE134" s="450"/>
      <c r="AF134" s="449"/>
      <c r="AG134" s="450"/>
    </row>
    <row r="135" spans="1:33">
      <c r="A135" s="79" t="s">
        <v>142</v>
      </c>
      <c r="B135" s="83" t="s">
        <v>166</v>
      </c>
      <c r="C135" s="84" t="s">
        <v>798</v>
      </c>
      <c r="D135" s="85">
        <v>139968</v>
      </c>
      <c r="E135" s="461">
        <v>6</v>
      </c>
      <c r="F135" s="447">
        <f t="shared" si="8"/>
        <v>89080</v>
      </c>
      <c r="G135" s="448">
        <f t="shared" si="9"/>
        <v>83361</v>
      </c>
      <c r="H135" s="449">
        <v>65209</v>
      </c>
      <c r="I135" s="450">
        <v>57363</v>
      </c>
      <c r="J135" s="449">
        <v>6718</v>
      </c>
      <c r="K135" s="450">
        <v>6791</v>
      </c>
      <c r="L135" s="449">
        <v>17153</v>
      </c>
      <c r="M135" s="449">
        <v>0</v>
      </c>
      <c r="N135" s="449">
        <v>0</v>
      </c>
      <c r="O135" s="450">
        <v>19207</v>
      </c>
      <c r="P135" s="450">
        <v>0</v>
      </c>
      <c r="Q135" s="450">
        <v>0</v>
      </c>
      <c r="R135" s="449">
        <v>0</v>
      </c>
      <c r="S135" s="450">
        <v>0</v>
      </c>
      <c r="T135" s="447">
        <f t="shared" si="10"/>
        <v>0</v>
      </c>
      <c r="U135" s="448">
        <f t="shared" si="11"/>
        <v>0</v>
      </c>
      <c r="V135" s="449"/>
      <c r="W135" s="450"/>
      <c r="X135" s="449"/>
      <c r="Y135" s="450"/>
      <c r="Z135" s="449"/>
      <c r="AA135" s="449"/>
      <c r="AB135" s="449"/>
      <c r="AC135" s="450"/>
      <c r="AD135" s="450"/>
      <c r="AE135" s="450"/>
      <c r="AF135" s="449"/>
      <c r="AG135" s="450"/>
    </row>
    <row r="136" spans="1:33">
      <c r="A136" s="79" t="s">
        <v>142</v>
      </c>
      <c r="B136" s="83" t="s">
        <v>167</v>
      </c>
      <c r="C136" s="84"/>
      <c r="D136" s="85">
        <v>482699</v>
      </c>
      <c r="E136" s="391">
        <v>7</v>
      </c>
      <c r="F136" s="447">
        <f t="shared" si="8"/>
        <v>61747</v>
      </c>
      <c r="G136" s="448">
        <f t="shared" si="9"/>
        <v>59744</v>
      </c>
      <c r="H136" s="449">
        <v>21466</v>
      </c>
      <c r="I136" s="450">
        <v>20148</v>
      </c>
      <c r="J136" s="449">
        <v>23010</v>
      </c>
      <c r="K136" s="450">
        <v>20109</v>
      </c>
      <c r="L136" s="449">
        <v>17271</v>
      </c>
      <c r="M136" s="449">
        <v>0</v>
      </c>
      <c r="N136" s="449">
        <v>0</v>
      </c>
      <c r="O136" s="450">
        <v>19487</v>
      </c>
      <c r="P136" s="450">
        <v>0</v>
      </c>
      <c r="Q136" s="450">
        <v>0</v>
      </c>
      <c r="R136" s="449">
        <v>0</v>
      </c>
      <c r="S136" s="450">
        <v>0</v>
      </c>
      <c r="T136" s="447">
        <f t="shared" si="10"/>
        <v>0</v>
      </c>
      <c r="U136" s="448">
        <f t="shared" si="11"/>
        <v>0</v>
      </c>
      <c r="V136" s="449"/>
      <c r="W136" s="450"/>
      <c r="X136" s="449"/>
      <c r="Y136" s="450"/>
      <c r="Z136" s="449"/>
      <c r="AA136" s="449"/>
      <c r="AB136" s="449"/>
      <c r="AC136" s="450"/>
      <c r="AD136" s="450"/>
      <c r="AE136" s="450"/>
      <c r="AF136" s="449"/>
      <c r="AG136" s="450"/>
    </row>
    <row r="137" spans="1:33">
      <c r="A137" s="389" t="s">
        <v>142</v>
      </c>
      <c r="B137" s="392" t="s">
        <v>168</v>
      </c>
      <c r="C137" s="390" t="s">
        <v>762</v>
      </c>
      <c r="D137" s="85">
        <v>139010</v>
      </c>
      <c r="E137" s="391">
        <v>10</v>
      </c>
      <c r="F137" s="447">
        <f t="shared" si="8"/>
        <v>0</v>
      </c>
      <c r="G137" s="448">
        <f t="shared" si="9"/>
        <v>0</v>
      </c>
      <c r="H137" s="449"/>
      <c r="I137" s="450"/>
      <c r="J137" s="449"/>
      <c r="K137" s="450"/>
      <c r="L137" s="449"/>
      <c r="M137" s="449"/>
      <c r="N137" s="449"/>
      <c r="O137" s="450"/>
      <c r="P137" s="450"/>
      <c r="Q137" s="450"/>
      <c r="R137" s="449"/>
      <c r="S137" s="450"/>
      <c r="T137" s="447">
        <f t="shared" si="10"/>
        <v>0</v>
      </c>
      <c r="U137" s="448">
        <f t="shared" si="11"/>
        <v>0</v>
      </c>
      <c r="V137" s="449"/>
      <c r="W137" s="450"/>
      <c r="X137" s="449"/>
      <c r="Y137" s="450"/>
      <c r="Z137" s="449"/>
      <c r="AA137" s="449"/>
      <c r="AB137" s="449"/>
      <c r="AC137" s="450"/>
      <c r="AD137" s="450"/>
      <c r="AE137" s="450"/>
      <c r="AF137" s="449"/>
      <c r="AG137" s="450"/>
    </row>
    <row r="138" spans="1:33">
      <c r="A138" s="86" t="s">
        <v>142</v>
      </c>
      <c r="B138" s="87" t="s">
        <v>169</v>
      </c>
      <c r="C138" s="52"/>
      <c r="D138" s="55">
        <v>138682</v>
      </c>
      <c r="E138" s="55">
        <v>12</v>
      </c>
      <c r="F138" s="447">
        <f t="shared" si="8"/>
        <v>76970</v>
      </c>
      <c r="G138" s="448">
        <f t="shared" si="9"/>
        <v>76635</v>
      </c>
      <c r="H138" s="449">
        <v>35710</v>
      </c>
      <c r="I138" s="450">
        <v>29840</v>
      </c>
      <c r="J138" s="449"/>
      <c r="K138" s="450"/>
      <c r="L138" s="449">
        <v>41260</v>
      </c>
      <c r="M138" s="449">
        <v>0</v>
      </c>
      <c r="N138" s="449">
        <v>0</v>
      </c>
      <c r="O138" s="450">
        <v>46795</v>
      </c>
      <c r="P138" s="450">
        <v>0</v>
      </c>
      <c r="Q138" s="450">
        <v>0</v>
      </c>
      <c r="R138" s="449"/>
      <c r="S138" s="450"/>
      <c r="T138" s="447">
        <f t="shared" si="10"/>
        <v>0</v>
      </c>
      <c r="U138" s="448">
        <f t="shared" si="11"/>
        <v>0</v>
      </c>
      <c r="V138" s="449"/>
      <c r="W138" s="450"/>
      <c r="X138" s="449"/>
      <c r="Y138" s="450"/>
      <c r="Z138" s="449"/>
      <c r="AA138" s="449"/>
      <c r="AB138" s="449"/>
      <c r="AC138" s="450"/>
      <c r="AD138" s="450"/>
      <c r="AE138" s="450"/>
      <c r="AF138" s="449"/>
      <c r="AG138" s="450"/>
    </row>
    <row r="139" spans="1:33">
      <c r="A139" s="86" t="s">
        <v>142</v>
      </c>
      <c r="B139" s="87" t="s">
        <v>170</v>
      </c>
      <c r="C139" s="52"/>
      <c r="D139" s="55">
        <v>246813</v>
      </c>
      <c r="E139" s="55">
        <v>12</v>
      </c>
      <c r="F139" s="447">
        <f t="shared" si="8"/>
        <v>86137</v>
      </c>
      <c r="G139" s="448">
        <f t="shared" si="9"/>
        <v>86294</v>
      </c>
      <c r="H139" s="449">
        <v>66447</v>
      </c>
      <c r="I139" s="450">
        <v>64114</v>
      </c>
      <c r="J139" s="449"/>
      <c r="K139" s="450"/>
      <c r="L139" s="449">
        <v>19430</v>
      </c>
      <c r="M139" s="449">
        <v>260</v>
      </c>
      <c r="N139" s="449">
        <v>0</v>
      </c>
      <c r="O139" s="450">
        <v>22090</v>
      </c>
      <c r="P139" s="450">
        <v>90</v>
      </c>
      <c r="Q139" s="450">
        <v>0</v>
      </c>
      <c r="R139" s="449"/>
      <c r="S139" s="450"/>
      <c r="T139" s="447">
        <f t="shared" si="10"/>
        <v>0</v>
      </c>
      <c r="U139" s="448">
        <f t="shared" si="11"/>
        <v>0</v>
      </c>
      <c r="V139" s="449"/>
      <c r="W139" s="450"/>
      <c r="X139" s="449"/>
      <c r="Y139" s="450"/>
      <c r="Z139" s="449"/>
      <c r="AA139" s="449"/>
      <c r="AB139" s="449"/>
      <c r="AC139" s="450"/>
      <c r="AD139" s="450"/>
      <c r="AE139" s="450"/>
      <c r="AF139" s="449"/>
      <c r="AG139" s="450"/>
    </row>
    <row r="140" spans="1:33">
      <c r="A140" s="86" t="s">
        <v>142</v>
      </c>
      <c r="B140" s="87" t="s">
        <v>171</v>
      </c>
      <c r="C140" s="52"/>
      <c r="D140" s="55">
        <v>138840</v>
      </c>
      <c r="E140" s="55">
        <v>12</v>
      </c>
      <c r="F140" s="447">
        <f t="shared" si="8"/>
        <v>86559</v>
      </c>
      <c r="G140" s="448">
        <f t="shared" si="9"/>
        <v>87610</v>
      </c>
      <c r="H140" s="449">
        <v>49899</v>
      </c>
      <c r="I140" s="450">
        <v>46838</v>
      </c>
      <c r="J140" s="449"/>
      <c r="K140" s="450"/>
      <c r="L140" s="449">
        <v>36660</v>
      </c>
      <c r="M140" s="449">
        <v>0</v>
      </c>
      <c r="N140" s="449">
        <v>0</v>
      </c>
      <c r="O140" s="450">
        <v>40772</v>
      </c>
      <c r="P140" s="450">
        <v>0</v>
      </c>
      <c r="Q140" s="450">
        <v>0</v>
      </c>
      <c r="R140" s="449"/>
      <c r="S140" s="450"/>
      <c r="T140" s="447">
        <f t="shared" si="10"/>
        <v>0</v>
      </c>
      <c r="U140" s="448">
        <f t="shared" si="11"/>
        <v>0</v>
      </c>
      <c r="V140" s="449"/>
      <c r="W140" s="450"/>
      <c r="X140" s="449"/>
      <c r="Y140" s="450"/>
      <c r="Z140" s="449"/>
      <c r="AA140" s="449"/>
      <c r="AB140" s="449"/>
      <c r="AC140" s="450"/>
      <c r="AD140" s="450"/>
      <c r="AE140" s="450"/>
      <c r="AF140" s="449"/>
      <c r="AG140" s="450"/>
    </row>
    <row r="141" spans="1:33">
      <c r="A141" s="86" t="s">
        <v>142</v>
      </c>
      <c r="B141" s="87" t="s">
        <v>172</v>
      </c>
      <c r="C141" s="52"/>
      <c r="D141" s="55">
        <v>138956</v>
      </c>
      <c r="E141" s="55">
        <v>12</v>
      </c>
      <c r="F141" s="447">
        <f t="shared" si="8"/>
        <v>100487</v>
      </c>
      <c r="G141" s="448">
        <f t="shared" si="9"/>
        <v>96226</v>
      </c>
      <c r="H141" s="449">
        <v>89916</v>
      </c>
      <c r="I141" s="450">
        <v>85399</v>
      </c>
      <c r="J141" s="449"/>
      <c r="K141" s="450"/>
      <c r="L141" s="449">
        <v>10571</v>
      </c>
      <c r="M141" s="449">
        <v>0</v>
      </c>
      <c r="N141" s="449">
        <v>0</v>
      </c>
      <c r="O141" s="450">
        <v>10827</v>
      </c>
      <c r="P141" s="450">
        <v>0</v>
      </c>
      <c r="Q141" s="450">
        <v>0</v>
      </c>
      <c r="R141" s="449"/>
      <c r="S141" s="450"/>
      <c r="T141" s="447">
        <f t="shared" si="10"/>
        <v>0</v>
      </c>
      <c r="U141" s="448">
        <f t="shared" si="11"/>
        <v>0</v>
      </c>
      <c r="V141" s="449"/>
      <c r="W141" s="450"/>
      <c r="X141" s="449"/>
      <c r="Y141" s="450"/>
      <c r="Z141" s="449"/>
      <c r="AA141" s="449"/>
      <c r="AB141" s="449"/>
      <c r="AC141" s="450"/>
      <c r="AD141" s="450"/>
      <c r="AE141" s="450"/>
      <c r="AF141" s="449"/>
      <c r="AG141" s="450"/>
    </row>
    <row r="142" spans="1:33" s="27" customFormat="1" ht="13.5" customHeight="1">
      <c r="A142" s="86" t="s">
        <v>142</v>
      </c>
      <c r="B142" s="87" t="s">
        <v>173</v>
      </c>
      <c r="C142" s="52"/>
      <c r="D142" s="55">
        <v>483045</v>
      </c>
      <c r="E142" s="55">
        <v>12</v>
      </c>
      <c r="F142" s="447">
        <f t="shared" si="8"/>
        <v>170017</v>
      </c>
      <c r="G142" s="448">
        <f t="shared" si="9"/>
        <v>167560</v>
      </c>
      <c r="H142" s="449">
        <v>92543</v>
      </c>
      <c r="I142" s="450">
        <v>87705</v>
      </c>
      <c r="J142" s="449"/>
      <c r="K142" s="450"/>
      <c r="L142" s="449">
        <v>66388</v>
      </c>
      <c r="M142" s="449">
        <v>11086</v>
      </c>
      <c r="N142" s="449">
        <v>0</v>
      </c>
      <c r="O142" s="450">
        <v>68479</v>
      </c>
      <c r="P142" s="450">
        <v>11376</v>
      </c>
      <c r="Q142" s="450">
        <v>0</v>
      </c>
      <c r="R142" s="449"/>
      <c r="S142" s="450"/>
      <c r="T142" s="447">
        <f t="shared" si="10"/>
        <v>0</v>
      </c>
      <c r="U142" s="448">
        <f t="shared" si="11"/>
        <v>0</v>
      </c>
      <c r="V142" s="449"/>
      <c r="W142" s="450"/>
      <c r="X142" s="449"/>
      <c r="Y142" s="450"/>
      <c r="Z142" s="449"/>
      <c r="AA142" s="449"/>
      <c r="AB142" s="449"/>
      <c r="AC142" s="450"/>
      <c r="AD142" s="450"/>
      <c r="AE142" s="450"/>
      <c r="AF142" s="449"/>
      <c r="AG142" s="450"/>
    </row>
    <row r="143" spans="1:33">
      <c r="A143" s="86" t="s">
        <v>142</v>
      </c>
      <c r="B143" s="87" t="s">
        <v>174</v>
      </c>
      <c r="C143" s="52"/>
      <c r="D143" s="55">
        <v>140331</v>
      </c>
      <c r="E143" s="55">
        <v>12</v>
      </c>
      <c r="F143" s="447">
        <f t="shared" si="8"/>
        <v>194492</v>
      </c>
      <c r="G143" s="448">
        <f t="shared" si="9"/>
        <v>193364</v>
      </c>
      <c r="H143" s="449">
        <v>98217</v>
      </c>
      <c r="I143" s="450">
        <v>93964</v>
      </c>
      <c r="J143" s="449"/>
      <c r="K143" s="450"/>
      <c r="L143" s="449">
        <v>96275</v>
      </c>
      <c r="M143" s="449">
        <v>0</v>
      </c>
      <c r="N143" s="449">
        <v>0</v>
      </c>
      <c r="O143" s="450">
        <v>99400</v>
      </c>
      <c r="P143" s="450">
        <v>0</v>
      </c>
      <c r="Q143" s="450">
        <v>0</v>
      </c>
      <c r="R143" s="449"/>
      <c r="S143" s="450"/>
      <c r="T143" s="447">
        <f t="shared" si="10"/>
        <v>0</v>
      </c>
      <c r="U143" s="448">
        <f t="shared" si="11"/>
        <v>0</v>
      </c>
      <c r="V143" s="449"/>
      <c r="W143" s="450"/>
      <c r="X143" s="449"/>
      <c r="Y143" s="450"/>
      <c r="Z143" s="449"/>
      <c r="AA143" s="449"/>
      <c r="AB143" s="449"/>
      <c r="AC143" s="450"/>
      <c r="AD143" s="450"/>
      <c r="AE143" s="450"/>
      <c r="AF143" s="449"/>
      <c r="AG143" s="450"/>
    </row>
    <row r="144" spans="1:33">
      <c r="A144" s="86" t="s">
        <v>142</v>
      </c>
      <c r="B144" s="88" t="s">
        <v>175</v>
      </c>
      <c r="C144" s="52"/>
      <c r="D144" s="89">
        <v>485458</v>
      </c>
      <c r="E144" s="55">
        <v>12</v>
      </c>
      <c r="F144" s="447">
        <f t="shared" si="8"/>
        <v>60866</v>
      </c>
      <c r="G144" s="448">
        <f t="shared" si="9"/>
        <v>72138</v>
      </c>
      <c r="H144" s="449">
        <v>48116</v>
      </c>
      <c r="I144" s="450">
        <v>53702</v>
      </c>
      <c r="J144" s="449"/>
      <c r="K144" s="450"/>
      <c r="L144" s="449">
        <v>12750</v>
      </c>
      <c r="M144" s="449">
        <v>0</v>
      </c>
      <c r="N144" s="449">
        <v>0</v>
      </c>
      <c r="O144" s="450">
        <v>18436</v>
      </c>
      <c r="P144" s="450">
        <v>0</v>
      </c>
      <c r="Q144" s="450">
        <v>0</v>
      </c>
      <c r="R144" s="449"/>
      <c r="S144" s="450"/>
      <c r="T144" s="447">
        <f t="shared" si="10"/>
        <v>0</v>
      </c>
      <c r="U144" s="448">
        <f t="shared" si="11"/>
        <v>0</v>
      </c>
      <c r="V144" s="449"/>
      <c r="W144" s="450"/>
      <c r="X144" s="449"/>
      <c r="Y144" s="450"/>
      <c r="Z144" s="449"/>
      <c r="AA144" s="449"/>
      <c r="AB144" s="449"/>
      <c r="AC144" s="450"/>
      <c r="AD144" s="450"/>
      <c r="AE144" s="450"/>
      <c r="AF144" s="449"/>
      <c r="AG144" s="450"/>
    </row>
    <row r="145" spans="1:33">
      <c r="A145" s="86" t="s">
        <v>142</v>
      </c>
      <c r="B145" s="87" t="s">
        <v>176</v>
      </c>
      <c r="C145" s="52"/>
      <c r="D145" s="55">
        <v>139357</v>
      </c>
      <c r="E145" s="55">
        <v>12</v>
      </c>
      <c r="F145" s="447">
        <f t="shared" si="8"/>
        <v>70252.399999999994</v>
      </c>
      <c r="G145" s="448">
        <f t="shared" si="9"/>
        <v>73251.899999999994</v>
      </c>
      <c r="H145" s="449">
        <v>45287.3</v>
      </c>
      <c r="I145" s="450">
        <v>48299.4</v>
      </c>
      <c r="J145" s="449"/>
      <c r="K145" s="450"/>
      <c r="L145" s="449">
        <v>24965.1</v>
      </c>
      <c r="M145" s="449">
        <v>0</v>
      </c>
      <c r="N145" s="449">
        <v>0</v>
      </c>
      <c r="O145" s="450">
        <v>24952.5</v>
      </c>
      <c r="P145" s="450">
        <v>0</v>
      </c>
      <c r="Q145" s="450">
        <v>0</v>
      </c>
      <c r="R145" s="449"/>
      <c r="S145" s="450"/>
      <c r="T145" s="447">
        <f t="shared" si="10"/>
        <v>0</v>
      </c>
      <c r="U145" s="448">
        <f t="shared" si="11"/>
        <v>0</v>
      </c>
      <c r="V145" s="449"/>
      <c r="W145" s="450"/>
      <c r="X145" s="449"/>
      <c r="Y145" s="450"/>
      <c r="Z145" s="449"/>
      <c r="AA145" s="449"/>
      <c r="AB145" s="449"/>
      <c r="AC145" s="450"/>
      <c r="AD145" s="450"/>
      <c r="AE145" s="450"/>
      <c r="AF145" s="449"/>
      <c r="AG145" s="450"/>
    </row>
    <row r="146" spans="1:33">
      <c r="A146" s="86" t="s">
        <v>142</v>
      </c>
      <c r="B146" s="87" t="s">
        <v>177</v>
      </c>
      <c r="C146" s="52"/>
      <c r="D146" s="55">
        <v>139384</v>
      </c>
      <c r="E146" s="55">
        <v>12</v>
      </c>
      <c r="F146" s="447">
        <f t="shared" ref="F146:F209" si="12">SUM(H146,J146,L146,M146,N146,R146)</f>
        <v>111820</v>
      </c>
      <c r="G146" s="448">
        <f t="shared" ref="G146:G209" si="13">SUM(I146,K146,O146,P146,Q146,S146)</f>
        <v>119951</v>
      </c>
      <c r="H146" s="449">
        <v>65466</v>
      </c>
      <c r="I146" s="450">
        <v>68172</v>
      </c>
      <c r="J146" s="449"/>
      <c r="K146" s="450"/>
      <c r="L146" s="449">
        <v>46354</v>
      </c>
      <c r="M146" s="449">
        <v>0</v>
      </c>
      <c r="N146" s="449">
        <v>0</v>
      </c>
      <c r="O146" s="450">
        <v>51779</v>
      </c>
      <c r="P146" s="450">
        <v>0</v>
      </c>
      <c r="Q146" s="450">
        <v>0</v>
      </c>
      <c r="R146" s="449"/>
      <c r="S146" s="450"/>
      <c r="T146" s="447">
        <f t="shared" ref="T146:T209" si="14">SUM(V146,X146,Z146,AA146,AB146,AF146)</f>
        <v>0</v>
      </c>
      <c r="U146" s="448">
        <f t="shared" ref="U146:U209" si="15">SUM(W146,Y146,AC146,AD146,AE146,AG146)</f>
        <v>0</v>
      </c>
      <c r="V146" s="449"/>
      <c r="W146" s="450"/>
      <c r="X146" s="449"/>
      <c r="Y146" s="450"/>
      <c r="Z146" s="449"/>
      <c r="AA146" s="449"/>
      <c r="AB146" s="449"/>
      <c r="AC146" s="450"/>
      <c r="AD146" s="450"/>
      <c r="AE146" s="450"/>
      <c r="AF146" s="449"/>
      <c r="AG146" s="450"/>
    </row>
    <row r="147" spans="1:33">
      <c r="A147" s="86" t="s">
        <v>142</v>
      </c>
      <c r="B147" s="87" t="s">
        <v>178</v>
      </c>
      <c r="C147" s="53"/>
      <c r="D147" s="55">
        <v>244446</v>
      </c>
      <c r="E147" s="55">
        <v>12</v>
      </c>
      <c r="F147" s="447">
        <f t="shared" si="12"/>
        <v>79406</v>
      </c>
      <c r="G147" s="448">
        <f t="shared" si="13"/>
        <v>69469.5</v>
      </c>
      <c r="H147" s="449">
        <v>22955</v>
      </c>
      <c r="I147" s="450">
        <v>19528.5</v>
      </c>
      <c r="J147" s="449"/>
      <c r="K147" s="450"/>
      <c r="L147" s="449">
        <v>56451</v>
      </c>
      <c r="M147" s="449">
        <v>0</v>
      </c>
      <c r="N147" s="449">
        <v>0</v>
      </c>
      <c r="O147" s="450">
        <v>49941</v>
      </c>
      <c r="P147" s="450">
        <v>0</v>
      </c>
      <c r="Q147" s="450">
        <v>0</v>
      </c>
      <c r="R147" s="449"/>
      <c r="S147" s="450"/>
      <c r="T147" s="447">
        <f t="shared" si="14"/>
        <v>0</v>
      </c>
      <c r="U147" s="448">
        <f t="shared" si="15"/>
        <v>0</v>
      </c>
      <c r="V147" s="449"/>
      <c r="W147" s="450"/>
      <c r="X147" s="449"/>
      <c r="Y147" s="450"/>
      <c r="Z147" s="449"/>
      <c r="AA147" s="449"/>
      <c r="AB147" s="449"/>
      <c r="AC147" s="450"/>
      <c r="AD147" s="450"/>
      <c r="AE147" s="450"/>
      <c r="AF147" s="449"/>
      <c r="AG147" s="450"/>
    </row>
    <row r="148" spans="1:33">
      <c r="A148" s="86" t="s">
        <v>142</v>
      </c>
      <c r="B148" s="87" t="s">
        <v>179</v>
      </c>
      <c r="C148" s="52"/>
      <c r="D148" s="55">
        <v>140012</v>
      </c>
      <c r="E148" s="55">
        <v>12</v>
      </c>
      <c r="F148" s="447">
        <f t="shared" si="12"/>
        <v>167248</v>
      </c>
      <c r="G148" s="448">
        <f t="shared" si="13"/>
        <v>172091</v>
      </c>
      <c r="H148" s="449">
        <v>97710</v>
      </c>
      <c r="I148" s="450">
        <v>94293</v>
      </c>
      <c r="J148" s="449"/>
      <c r="K148" s="450"/>
      <c r="L148" s="449">
        <v>69538</v>
      </c>
      <c r="M148" s="449">
        <v>0</v>
      </c>
      <c r="N148" s="449">
        <v>0</v>
      </c>
      <c r="O148" s="450">
        <v>77798</v>
      </c>
      <c r="P148" s="450">
        <v>0</v>
      </c>
      <c r="Q148" s="450">
        <v>0</v>
      </c>
      <c r="R148" s="449"/>
      <c r="S148" s="450"/>
      <c r="T148" s="447">
        <f t="shared" si="14"/>
        <v>0</v>
      </c>
      <c r="U148" s="448">
        <f t="shared" si="15"/>
        <v>0</v>
      </c>
      <c r="V148" s="449"/>
      <c r="W148" s="450"/>
      <c r="X148" s="449"/>
      <c r="Y148" s="450"/>
      <c r="Z148" s="449"/>
      <c r="AA148" s="449"/>
      <c r="AB148" s="449"/>
      <c r="AC148" s="450"/>
      <c r="AD148" s="450"/>
      <c r="AE148" s="450"/>
      <c r="AF148" s="449"/>
      <c r="AG148" s="450"/>
    </row>
    <row r="149" spans="1:33">
      <c r="A149" s="86" t="s">
        <v>142</v>
      </c>
      <c r="B149" s="87" t="s">
        <v>180</v>
      </c>
      <c r="C149" s="52"/>
      <c r="D149" s="55">
        <v>140243</v>
      </c>
      <c r="E149" s="55">
        <v>12</v>
      </c>
      <c r="F149" s="447">
        <f t="shared" si="12"/>
        <v>74738</v>
      </c>
      <c r="G149" s="448">
        <f t="shared" si="13"/>
        <v>85664</v>
      </c>
      <c r="H149" s="449">
        <v>54752</v>
      </c>
      <c r="I149" s="450">
        <v>63039</v>
      </c>
      <c r="J149" s="449"/>
      <c r="K149" s="450"/>
      <c r="L149" s="449">
        <v>19986</v>
      </c>
      <c r="M149" s="449">
        <v>0</v>
      </c>
      <c r="N149" s="449">
        <v>0</v>
      </c>
      <c r="O149" s="450">
        <v>22625</v>
      </c>
      <c r="P149" s="450">
        <v>0</v>
      </c>
      <c r="Q149" s="450">
        <v>0</v>
      </c>
      <c r="R149" s="449"/>
      <c r="S149" s="450"/>
      <c r="T149" s="447">
        <f t="shared" si="14"/>
        <v>0</v>
      </c>
      <c r="U149" s="448">
        <f t="shared" si="15"/>
        <v>0</v>
      </c>
      <c r="V149" s="449"/>
      <c r="W149" s="450"/>
      <c r="X149" s="449"/>
      <c r="Y149" s="450"/>
      <c r="Z149" s="449"/>
      <c r="AA149" s="449"/>
      <c r="AB149" s="449"/>
      <c r="AC149" s="450"/>
      <c r="AD149" s="450"/>
      <c r="AE149" s="450"/>
      <c r="AF149" s="449"/>
      <c r="AG149" s="450"/>
    </row>
    <row r="150" spans="1:33">
      <c r="A150" s="86" t="s">
        <v>142</v>
      </c>
      <c r="B150" s="87" t="s">
        <v>181</v>
      </c>
      <c r="C150" s="52"/>
      <c r="D150" s="55">
        <v>140678</v>
      </c>
      <c r="E150" s="55">
        <v>12</v>
      </c>
      <c r="F150" s="447">
        <f t="shared" si="12"/>
        <v>53903</v>
      </c>
      <c r="G150" s="448">
        <f t="shared" si="13"/>
        <v>54959</v>
      </c>
      <c r="H150" s="449">
        <v>35839</v>
      </c>
      <c r="I150" s="450">
        <v>36405</v>
      </c>
      <c r="J150" s="449"/>
      <c r="K150" s="450"/>
      <c r="L150" s="449">
        <v>18064</v>
      </c>
      <c r="M150" s="449">
        <v>0</v>
      </c>
      <c r="N150" s="449">
        <v>0</v>
      </c>
      <c r="O150" s="450">
        <v>18554</v>
      </c>
      <c r="P150" s="450">
        <v>0</v>
      </c>
      <c r="Q150" s="450">
        <v>0</v>
      </c>
      <c r="R150" s="449"/>
      <c r="S150" s="450"/>
      <c r="T150" s="447">
        <f t="shared" si="14"/>
        <v>0</v>
      </c>
      <c r="U150" s="448">
        <f t="shared" si="15"/>
        <v>0</v>
      </c>
      <c r="V150" s="449"/>
      <c r="W150" s="450"/>
      <c r="X150" s="449"/>
      <c r="Y150" s="450"/>
      <c r="Z150" s="449"/>
      <c r="AA150" s="449"/>
      <c r="AB150" s="449"/>
      <c r="AC150" s="450"/>
      <c r="AD150" s="450"/>
      <c r="AE150" s="450"/>
      <c r="AF150" s="449"/>
      <c r="AG150" s="450"/>
    </row>
    <row r="151" spans="1:33">
      <c r="A151" s="86" t="s">
        <v>142</v>
      </c>
      <c r="B151" s="87" t="s">
        <v>182</v>
      </c>
      <c r="C151" s="121"/>
      <c r="D151" s="55">
        <v>420431</v>
      </c>
      <c r="E151" s="55">
        <v>12</v>
      </c>
      <c r="F151" s="447">
        <f t="shared" si="12"/>
        <v>29632</v>
      </c>
      <c r="G151" s="448">
        <f t="shared" si="13"/>
        <v>34423</v>
      </c>
      <c r="H151" s="449">
        <v>19940</v>
      </c>
      <c r="I151" s="450">
        <v>21789</v>
      </c>
      <c r="J151" s="449"/>
      <c r="K151" s="450"/>
      <c r="L151" s="449">
        <v>9692</v>
      </c>
      <c r="M151" s="449">
        <v>0</v>
      </c>
      <c r="N151" s="449">
        <v>0</v>
      </c>
      <c r="O151" s="450">
        <v>12634</v>
      </c>
      <c r="P151" s="450">
        <v>0</v>
      </c>
      <c r="Q151" s="450">
        <v>0</v>
      </c>
      <c r="R151" s="449"/>
      <c r="S151" s="450"/>
      <c r="T151" s="447">
        <f t="shared" si="14"/>
        <v>0</v>
      </c>
      <c r="U151" s="448">
        <f t="shared" si="15"/>
        <v>0</v>
      </c>
      <c r="V151" s="449"/>
      <c r="W151" s="450"/>
      <c r="X151" s="449"/>
      <c r="Y151" s="450"/>
      <c r="Z151" s="449"/>
      <c r="AA151" s="449"/>
      <c r="AB151" s="449"/>
      <c r="AC151" s="450"/>
      <c r="AD151" s="450"/>
      <c r="AE151" s="450"/>
      <c r="AF151" s="449"/>
      <c r="AG151" s="450"/>
    </row>
    <row r="152" spans="1:33">
      <c r="A152" s="90" t="s">
        <v>142</v>
      </c>
      <c r="B152" s="87" t="s">
        <v>183</v>
      </c>
      <c r="C152" s="52"/>
      <c r="D152" s="55">
        <v>366465</v>
      </c>
      <c r="E152" s="55">
        <v>12</v>
      </c>
      <c r="F152" s="447">
        <f t="shared" si="12"/>
        <v>47084</v>
      </c>
      <c r="G152" s="448">
        <f t="shared" si="13"/>
        <v>50133</v>
      </c>
      <c r="H152" s="449">
        <v>30753</v>
      </c>
      <c r="I152" s="450">
        <v>30877</v>
      </c>
      <c r="J152" s="449"/>
      <c r="K152" s="450"/>
      <c r="L152" s="449">
        <v>16331</v>
      </c>
      <c r="M152" s="449">
        <v>0</v>
      </c>
      <c r="N152" s="449">
        <v>0</v>
      </c>
      <c r="O152" s="450">
        <v>19256</v>
      </c>
      <c r="P152" s="450">
        <v>0</v>
      </c>
      <c r="Q152" s="450">
        <v>0</v>
      </c>
      <c r="R152" s="449"/>
      <c r="S152" s="450"/>
      <c r="T152" s="447">
        <f t="shared" si="14"/>
        <v>0</v>
      </c>
      <c r="U152" s="448">
        <f t="shared" si="15"/>
        <v>0</v>
      </c>
      <c r="V152" s="449"/>
      <c r="W152" s="450"/>
      <c r="X152" s="449"/>
      <c r="Y152" s="450"/>
      <c r="Z152" s="449"/>
      <c r="AA152" s="449"/>
      <c r="AB152" s="449"/>
      <c r="AC152" s="450"/>
      <c r="AD152" s="450"/>
      <c r="AE152" s="450"/>
      <c r="AF152" s="449"/>
      <c r="AG152" s="450"/>
    </row>
    <row r="153" spans="1:33">
      <c r="A153" s="90" t="s">
        <v>142</v>
      </c>
      <c r="B153" s="87" t="s">
        <v>184</v>
      </c>
      <c r="C153" s="52"/>
      <c r="D153" s="55">
        <v>140942</v>
      </c>
      <c r="E153" s="55">
        <v>12</v>
      </c>
      <c r="F153" s="447">
        <f t="shared" si="12"/>
        <v>86869</v>
      </c>
      <c r="G153" s="448">
        <f t="shared" si="13"/>
        <v>87500</v>
      </c>
      <c r="H153" s="449">
        <v>61865</v>
      </c>
      <c r="I153" s="450">
        <v>64669</v>
      </c>
      <c r="J153" s="449"/>
      <c r="K153" s="450"/>
      <c r="L153" s="449">
        <v>25004</v>
      </c>
      <c r="M153" s="449">
        <v>0</v>
      </c>
      <c r="N153" s="449">
        <v>0</v>
      </c>
      <c r="O153" s="450">
        <v>22831</v>
      </c>
      <c r="P153" s="450">
        <v>0</v>
      </c>
      <c r="Q153" s="450">
        <v>0</v>
      </c>
      <c r="R153" s="449"/>
      <c r="S153" s="450"/>
      <c r="T153" s="447">
        <f t="shared" si="14"/>
        <v>0</v>
      </c>
      <c r="U153" s="448">
        <f t="shared" si="15"/>
        <v>0</v>
      </c>
      <c r="V153" s="449"/>
      <c r="W153" s="450"/>
      <c r="X153" s="449"/>
      <c r="Y153" s="450"/>
      <c r="Z153" s="449"/>
      <c r="AA153" s="449"/>
      <c r="AB153" s="449"/>
      <c r="AC153" s="450"/>
      <c r="AD153" s="450"/>
      <c r="AE153" s="450"/>
      <c r="AF153" s="449"/>
      <c r="AG153" s="450"/>
    </row>
    <row r="154" spans="1:33">
      <c r="A154" s="90" t="s">
        <v>142</v>
      </c>
      <c r="B154" s="87" t="s">
        <v>185</v>
      </c>
      <c r="C154" s="52"/>
      <c r="D154" s="55">
        <v>141006</v>
      </c>
      <c r="E154" s="55">
        <v>12</v>
      </c>
      <c r="F154" s="447">
        <f t="shared" si="12"/>
        <v>49872</v>
      </c>
      <c r="G154" s="448">
        <f t="shared" si="13"/>
        <v>51913</v>
      </c>
      <c r="H154" s="449">
        <v>39027</v>
      </c>
      <c r="I154" s="450">
        <v>38957</v>
      </c>
      <c r="J154" s="449"/>
      <c r="K154" s="450"/>
      <c r="L154" s="449">
        <v>10845</v>
      </c>
      <c r="M154" s="449">
        <v>0</v>
      </c>
      <c r="N154" s="449">
        <v>0</v>
      </c>
      <c r="O154" s="450">
        <v>12956</v>
      </c>
      <c r="P154" s="450">
        <v>0</v>
      </c>
      <c r="Q154" s="450">
        <v>0</v>
      </c>
      <c r="R154" s="449"/>
      <c r="S154" s="450"/>
      <c r="T154" s="447">
        <f t="shared" si="14"/>
        <v>0</v>
      </c>
      <c r="U154" s="448">
        <f t="shared" si="15"/>
        <v>0</v>
      </c>
      <c r="V154" s="449"/>
      <c r="W154" s="450"/>
      <c r="X154" s="449"/>
      <c r="Y154" s="450"/>
      <c r="Z154" s="449"/>
      <c r="AA154" s="449"/>
      <c r="AB154" s="449"/>
      <c r="AC154" s="450"/>
      <c r="AD154" s="450"/>
      <c r="AE154" s="450"/>
      <c r="AF154" s="449"/>
      <c r="AG154" s="450"/>
    </row>
    <row r="155" spans="1:33">
      <c r="A155" s="90" t="s">
        <v>142</v>
      </c>
      <c r="B155" s="87" t="s">
        <v>186</v>
      </c>
      <c r="C155" s="52"/>
      <c r="D155" s="55">
        <v>368911</v>
      </c>
      <c r="E155" s="55">
        <v>12</v>
      </c>
      <c r="F155" s="447">
        <f t="shared" si="12"/>
        <v>34406</v>
      </c>
      <c r="G155" s="448">
        <f t="shared" si="13"/>
        <v>36529</v>
      </c>
      <c r="H155" s="449">
        <v>25482</v>
      </c>
      <c r="I155" s="450">
        <v>25145</v>
      </c>
      <c r="J155" s="449"/>
      <c r="K155" s="450"/>
      <c r="L155" s="449">
        <v>8924</v>
      </c>
      <c r="M155" s="449">
        <v>0</v>
      </c>
      <c r="N155" s="449">
        <v>0</v>
      </c>
      <c r="O155" s="450">
        <v>11384</v>
      </c>
      <c r="P155" s="450">
        <v>0</v>
      </c>
      <c r="Q155" s="450">
        <v>0</v>
      </c>
      <c r="R155" s="449"/>
      <c r="S155" s="450"/>
      <c r="T155" s="447">
        <f t="shared" si="14"/>
        <v>0</v>
      </c>
      <c r="U155" s="448">
        <f t="shared" si="15"/>
        <v>0</v>
      </c>
      <c r="V155" s="449"/>
      <c r="W155" s="450"/>
      <c r="X155" s="449"/>
      <c r="Y155" s="450"/>
      <c r="Z155" s="449"/>
      <c r="AA155" s="449"/>
      <c r="AB155" s="449"/>
      <c r="AC155" s="450"/>
      <c r="AD155" s="450"/>
      <c r="AE155" s="450"/>
      <c r="AF155" s="449"/>
      <c r="AG155" s="450"/>
    </row>
    <row r="156" spans="1:33">
      <c r="A156" s="90" t="s">
        <v>142</v>
      </c>
      <c r="B156" s="91" t="s">
        <v>187</v>
      </c>
      <c r="C156" s="52"/>
      <c r="D156" s="55">
        <v>139986</v>
      </c>
      <c r="E156" s="55">
        <v>12</v>
      </c>
      <c r="F156" s="447">
        <f t="shared" si="12"/>
        <v>99878</v>
      </c>
      <c r="G156" s="448">
        <f t="shared" si="13"/>
        <v>104938</v>
      </c>
      <c r="H156" s="449">
        <v>64903</v>
      </c>
      <c r="I156" s="450">
        <v>64948</v>
      </c>
      <c r="J156" s="449"/>
      <c r="K156" s="450"/>
      <c r="L156" s="449">
        <v>34975</v>
      </c>
      <c r="M156" s="449">
        <v>0</v>
      </c>
      <c r="N156" s="449">
        <v>0</v>
      </c>
      <c r="O156" s="450">
        <v>39747</v>
      </c>
      <c r="P156" s="450">
        <v>243</v>
      </c>
      <c r="Q156" s="450">
        <v>0</v>
      </c>
      <c r="R156" s="449"/>
      <c r="S156" s="450"/>
      <c r="T156" s="447">
        <f t="shared" si="14"/>
        <v>0</v>
      </c>
      <c r="U156" s="448">
        <f t="shared" si="15"/>
        <v>0</v>
      </c>
      <c r="V156" s="449"/>
      <c r="W156" s="450"/>
      <c r="X156" s="449"/>
      <c r="Y156" s="450"/>
      <c r="Z156" s="449"/>
      <c r="AA156" s="449"/>
      <c r="AB156" s="449"/>
      <c r="AC156" s="450"/>
      <c r="AD156" s="450"/>
      <c r="AE156" s="450"/>
      <c r="AF156" s="449"/>
      <c r="AG156" s="450"/>
    </row>
    <row r="157" spans="1:33">
      <c r="A157" s="90" t="s">
        <v>142</v>
      </c>
      <c r="B157" s="88" t="s">
        <v>188</v>
      </c>
      <c r="C157" s="52"/>
      <c r="D157" s="89">
        <v>487162</v>
      </c>
      <c r="E157" s="55">
        <v>12</v>
      </c>
      <c r="F157" s="447">
        <f t="shared" si="12"/>
        <v>89137</v>
      </c>
      <c r="G157" s="448">
        <f t="shared" si="13"/>
        <v>99205</v>
      </c>
      <c r="H157" s="449">
        <v>62207</v>
      </c>
      <c r="I157" s="450">
        <v>65428</v>
      </c>
      <c r="J157" s="449"/>
      <c r="K157" s="450"/>
      <c r="L157" s="449">
        <v>26930</v>
      </c>
      <c r="M157" s="449">
        <v>0</v>
      </c>
      <c r="N157" s="449">
        <v>0</v>
      </c>
      <c r="O157" s="450">
        <v>33777</v>
      </c>
      <c r="P157" s="450">
        <v>0</v>
      </c>
      <c r="Q157" s="450">
        <v>0</v>
      </c>
      <c r="R157" s="449"/>
      <c r="S157" s="450"/>
      <c r="T157" s="447">
        <f t="shared" si="14"/>
        <v>0</v>
      </c>
      <c r="U157" s="448">
        <f t="shared" si="15"/>
        <v>0</v>
      </c>
      <c r="V157" s="449"/>
      <c r="W157" s="450"/>
      <c r="X157" s="449"/>
      <c r="Y157" s="450"/>
      <c r="Z157" s="449"/>
      <c r="AA157" s="449"/>
      <c r="AB157" s="449"/>
      <c r="AC157" s="450"/>
      <c r="AD157" s="450"/>
      <c r="AE157" s="450"/>
      <c r="AF157" s="449"/>
      <c r="AG157" s="450"/>
    </row>
    <row r="158" spans="1:33">
      <c r="A158" s="90" t="s">
        <v>142</v>
      </c>
      <c r="B158" s="87" t="s">
        <v>189</v>
      </c>
      <c r="C158" s="52"/>
      <c r="D158" s="55">
        <v>139278</v>
      </c>
      <c r="E158" s="55">
        <v>12</v>
      </c>
      <c r="F158" s="447">
        <f t="shared" si="12"/>
        <v>132699</v>
      </c>
      <c r="G158" s="448">
        <f t="shared" si="13"/>
        <v>134690</v>
      </c>
      <c r="H158" s="449">
        <v>87329</v>
      </c>
      <c r="I158" s="450">
        <v>79156</v>
      </c>
      <c r="J158" s="449"/>
      <c r="K158" s="450"/>
      <c r="L158" s="449">
        <v>45370</v>
      </c>
      <c r="M158" s="449">
        <v>0</v>
      </c>
      <c r="N158" s="449">
        <v>0</v>
      </c>
      <c r="O158" s="450">
        <v>55534</v>
      </c>
      <c r="P158" s="450">
        <v>0</v>
      </c>
      <c r="Q158" s="450">
        <v>0</v>
      </c>
      <c r="R158" s="449"/>
      <c r="S158" s="450"/>
      <c r="T158" s="447">
        <f t="shared" si="14"/>
        <v>0</v>
      </c>
      <c r="U158" s="448">
        <f t="shared" si="15"/>
        <v>0</v>
      </c>
      <c r="V158" s="449"/>
      <c r="W158" s="450"/>
      <c r="X158" s="449"/>
      <c r="Y158" s="450"/>
      <c r="Z158" s="449"/>
      <c r="AA158" s="449"/>
      <c r="AB158" s="449"/>
      <c r="AC158" s="450"/>
      <c r="AD158" s="450"/>
      <c r="AE158" s="450"/>
      <c r="AF158" s="449"/>
      <c r="AG158" s="450"/>
    </row>
    <row r="159" spans="1:33">
      <c r="A159" s="90" t="s">
        <v>142</v>
      </c>
      <c r="B159" s="91" t="s">
        <v>190</v>
      </c>
      <c r="C159" s="52"/>
      <c r="D159" s="55">
        <v>141255</v>
      </c>
      <c r="E159" s="55">
        <v>12</v>
      </c>
      <c r="F159" s="447">
        <f t="shared" si="12"/>
        <v>81638</v>
      </c>
      <c r="G159" s="448">
        <f t="shared" si="13"/>
        <v>84293</v>
      </c>
      <c r="H159" s="449">
        <v>64689</v>
      </c>
      <c r="I159" s="450">
        <v>67418</v>
      </c>
      <c r="J159" s="449"/>
      <c r="K159" s="450"/>
      <c r="L159" s="449">
        <v>16949</v>
      </c>
      <c r="M159" s="449">
        <v>0</v>
      </c>
      <c r="N159" s="449">
        <v>0</v>
      </c>
      <c r="O159" s="450">
        <v>16875</v>
      </c>
      <c r="P159" s="450">
        <v>0</v>
      </c>
      <c r="Q159" s="450">
        <v>0</v>
      </c>
      <c r="R159" s="449"/>
      <c r="S159" s="450"/>
      <c r="T159" s="447">
        <f t="shared" si="14"/>
        <v>0</v>
      </c>
      <c r="U159" s="448">
        <f t="shared" si="15"/>
        <v>0</v>
      </c>
      <c r="V159" s="449"/>
      <c r="W159" s="450"/>
      <c r="X159" s="449"/>
      <c r="Y159" s="450"/>
      <c r="Z159" s="449"/>
      <c r="AA159" s="449"/>
      <c r="AB159" s="449"/>
      <c r="AC159" s="450"/>
      <c r="AD159" s="450"/>
      <c r="AE159" s="450"/>
      <c r="AF159" s="449"/>
      <c r="AG159" s="450"/>
    </row>
    <row r="160" spans="1:33">
      <c r="A160" s="92" t="s">
        <v>191</v>
      </c>
      <c r="B160" s="453" t="s">
        <v>192</v>
      </c>
      <c r="C160" s="462"/>
      <c r="D160" s="11">
        <v>157085</v>
      </c>
      <c r="E160" s="11">
        <v>1</v>
      </c>
      <c r="F160" s="447">
        <f t="shared" si="12"/>
        <v>666352</v>
      </c>
      <c r="G160" s="448">
        <f t="shared" si="13"/>
        <v>661709</v>
      </c>
      <c r="H160" s="449">
        <v>596292</v>
      </c>
      <c r="I160" s="450">
        <v>589799</v>
      </c>
      <c r="J160" s="449">
        <v>8946</v>
      </c>
      <c r="K160" s="450">
        <v>7624</v>
      </c>
      <c r="L160" s="449">
        <v>59383</v>
      </c>
      <c r="M160" s="449">
        <v>540</v>
      </c>
      <c r="N160" s="449">
        <v>1191</v>
      </c>
      <c r="O160" s="450">
        <v>62707</v>
      </c>
      <c r="P160" s="450">
        <v>303</v>
      </c>
      <c r="Q160" s="450">
        <v>1276</v>
      </c>
      <c r="R160" s="449"/>
      <c r="S160" s="450"/>
      <c r="T160" s="447">
        <f t="shared" si="14"/>
        <v>83665</v>
      </c>
      <c r="U160" s="448">
        <f t="shared" si="15"/>
        <v>83861</v>
      </c>
      <c r="V160" s="449">
        <v>63060</v>
      </c>
      <c r="W160" s="450">
        <v>59942</v>
      </c>
      <c r="X160" s="449">
        <v>309</v>
      </c>
      <c r="Y160" s="450">
        <v>284</v>
      </c>
      <c r="Z160" s="449">
        <v>20013</v>
      </c>
      <c r="AA160" s="449"/>
      <c r="AB160" s="449">
        <v>283</v>
      </c>
      <c r="AC160" s="450">
        <v>22967</v>
      </c>
      <c r="AD160" s="450">
        <v>668</v>
      </c>
      <c r="AE160" s="450"/>
      <c r="AF160" s="449"/>
      <c r="AG160" s="450"/>
    </row>
    <row r="161" spans="1:33">
      <c r="A161" s="92" t="s">
        <v>191</v>
      </c>
      <c r="B161" s="453" t="s">
        <v>193</v>
      </c>
      <c r="C161" s="462"/>
      <c r="D161" s="11">
        <v>157289</v>
      </c>
      <c r="E161" s="11">
        <v>1</v>
      </c>
      <c r="F161" s="447">
        <f t="shared" si="12"/>
        <v>391462</v>
      </c>
      <c r="G161" s="448">
        <f t="shared" si="13"/>
        <v>385705</v>
      </c>
      <c r="H161" s="449">
        <v>324563</v>
      </c>
      <c r="I161" s="450">
        <v>312187</v>
      </c>
      <c r="J161" s="449">
        <v>13150</v>
      </c>
      <c r="K161" s="450">
        <v>13722</v>
      </c>
      <c r="L161" s="449">
        <v>53749</v>
      </c>
      <c r="M161" s="449"/>
      <c r="N161" s="449"/>
      <c r="O161" s="450">
        <v>59796</v>
      </c>
      <c r="P161" s="450"/>
      <c r="Q161" s="450"/>
      <c r="R161" s="449"/>
      <c r="S161" s="450"/>
      <c r="T161" s="447">
        <f t="shared" si="14"/>
        <v>80351</v>
      </c>
      <c r="U161" s="448">
        <f t="shared" si="15"/>
        <v>78224</v>
      </c>
      <c r="V161" s="449">
        <v>55586</v>
      </c>
      <c r="W161" s="450">
        <v>51454.5</v>
      </c>
      <c r="X161" s="449">
        <v>6232</v>
      </c>
      <c r="Y161" s="450">
        <v>6149</v>
      </c>
      <c r="Z161" s="449">
        <v>18533</v>
      </c>
      <c r="AA161" s="449"/>
      <c r="AB161" s="449"/>
      <c r="AC161" s="450">
        <v>20620.5</v>
      </c>
      <c r="AD161" s="450"/>
      <c r="AE161" s="450"/>
      <c r="AF161" s="449"/>
      <c r="AG161" s="450"/>
    </row>
    <row r="162" spans="1:33">
      <c r="A162" s="92" t="s">
        <v>191</v>
      </c>
      <c r="B162" s="453" t="s">
        <v>194</v>
      </c>
      <c r="C162" s="462"/>
      <c r="D162" s="11">
        <v>156620</v>
      </c>
      <c r="E162" s="11">
        <v>3</v>
      </c>
      <c r="F162" s="447">
        <f t="shared" si="12"/>
        <v>383583</v>
      </c>
      <c r="G162" s="448">
        <f t="shared" si="13"/>
        <v>360719</v>
      </c>
      <c r="H162" s="449">
        <v>288192</v>
      </c>
      <c r="I162" s="450">
        <v>265793</v>
      </c>
      <c r="J162" s="449">
        <v>14604</v>
      </c>
      <c r="K162" s="450">
        <v>12460</v>
      </c>
      <c r="L162" s="449">
        <v>75149</v>
      </c>
      <c r="M162" s="449">
        <v>5638</v>
      </c>
      <c r="N162" s="449"/>
      <c r="O162" s="450">
        <v>77567</v>
      </c>
      <c r="P162" s="450">
        <v>4899</v>
      </c>
      <c r="Q162" s="450"/>
      <c r="R162" s="449"/>
      <c r="S162" s="450"/>
      <c r="T162" s="447">
        <f t="shared" si="14"/>
        <v>42769</v>
      </c>
      <c r="U162" s="448">
        <f t="shared" si="15"/>
        <v>40190</v>
      </c>
      <c r="V162" s="449">
        <v>15258</v>
      </c>
      <c r="W162" s="450">
        <v>14008.5</v>
      </c>
      <c r="X162" s="449">
        <v>999</v>
      </c>
      <c r="Y162" s="450">
        <v>1530.5</v>
      </c>
      <c r="Z162" s="449">
        <v>26509</v>
      </c>
      <c r="AA162" s="449">
        <v>3</v>
      </c>
      <c r="AB162" s="449"/>
      <c r="AC162" s="450">
        <v>24648</v>
      </c>
      <c r="AD162" s="450"/>
      <c r="AE162" s="450">
        <v>3</v>
      </c>
      <c r="AF162" s="449"/>
      <c r="AG162" s="450"/>
    </row>
    <row r="163" spans="1:33">
      <c r="A163" s="92" t="s">
        <v>191</v>
      </c>
      <c r="B163" s="453" t="s">
        <v>195</v>
      </c>
      <c r="C163" s="462"/>
      <c r="D163" s="11">
        <v>157386</v>
      </c>
      <c r="E163" s="11">
        <v>3</v>
      </c>
      <c r="F163" s="447">
        <f t="shared" si="12"/>
        <v>201307</v>
      </c>
      <c r="G163" s="448">
        <f t="shared" si="13"/>
        <v>191768</v>
      </c>
      <c r="H163" s="449">
        <v>118899</v>
      </c>
      <c r="I163" s="450">
        <v>112435</v>
      </c>
      <c r="J163" s="449">
        <v>28204</v>
      </c>
      <c r="K163" s="450">
        <v>26333</v>
      </c>
      <c r="L163" s="449">
        <v>49322</v>
      </c>
      <c r="M163" s="449">
        <v>4882</v>
      </c>
      <c r="N163" s="449"/>
      <c r="O163" s="450">
        <v>48273</v>
      </c>
      <c r="P163" s="450">
        <v>4727</v>
      </c>
      <c r="Q163" s="450"/>
      <c r="R163" s="449"/>
      <c r="S163" s="450"/>
      <c r="T163" s="447">
        <f t="shared" si="14"/>
        <v>13424</v>
      </c>
      <c r="U163" s="448">
        <f t="shared" si="15"/>
        <v>11765</v>
      </c>
      <c r="V163" s="449">
        <v>1538</v>
      </c>
      <c r="W163" s="450">
        <v>1161</v>
      </c>
      <c r="X163" s="449">
        <v>573</v>
      </c>
      <c r="Y163" s="450">
        <v>564</v>
      </c>
      <c r="Z163" s="449">
        <v>10883</v>
      </c>
      <c r="AA163" s="449">
        <v>430</v>
      </c>
      <c r="AB163" s="449"/>
      <c r="AC163" s="450">
        <v>9986</v>
      </c>
      <c r="AD163" s="450"/>
      <c r="AE163" s="450">
        <v>54</v>
      </c>
      <c r="AF163" s="449"/>
      <c r="AG163" s="450"/>
    </row>
    <row r="164" spans="1:33" s="27" customFormat="1" ht="13.5" customHeight="1">
      <c r="A164" s="92" t="s">
        <v>191</v>
      </c>
      <c r="B164" s="453" t="s">
        <v>196</v>
      </c>
      <c r="C164" s="462"/>
      <c r="D164" s="11">
        <v>157401</v>
      </c>
      <c r="E164" s="11">
        <v>3</v>
      </c>
      <c r="F164" s="447">
        <f t="shared" si="12"/>
        <v>212115</v>
      </c>
      <c r="G164" s="448">
        <f t="shared" si="13"/>
        <v>206180</v>
      </c>
      <c r="H164" s="449">
        <v>166732</v>
      </c>
      <c r="I164" s="450">
        <v>156228</v>
      </c>
      <c r="J164" s="449">
        <v>9655</v>
      </c>
      <c r="K164" s="450">
        <v>10668</v>
      </c>
      <c r="L164" s="449">
        <v>28786</v>
      </c>
      <c r="M164" s="449">
        <v>6942</v>
      </c>
      <c r="N164" s="449"/>
      <c r="O164" s="450">
        <v>32320</v>
      </c>
      <c r="P164" s="450">
        <v>6964</v>
      </c>
      <c r="Q164" s="450"/>
      <c r="R164" s="449"/>
      <c r="S164" s="450"/>
      <c r="T164" s="447">
        <f t="shared" si="14"/>
        <v>20151</v>
      </c>
      <c r="U164" s="448">
        <f t="shared" si="15"/>
        <v>20929</v>
      </c>
      <c r="V164" s="449">
        <v>9236</v>
      </c>
      <c r="W164" s="450">
        <v>9651</v>
      </c>
      <c r="X164" s="449">
        <v>1879</v>
      </c>
      <c r="Y164" s="450">
        <v>2553</v>
      </c>
      <c r="Z164" s="449">
        <v>8670</v>
      </c>
      <c r="AA164" s="449">
        <v>366</v>
      </c>
      <c r="AB164" s="449"/>
      <c r="AC164" s="450">
        <v>8494</v>
      </c>
      <c r="AD164" s="450"/>
      <c r="AE164" s="450">
        <v>231</v>
      </c>
      <c r="AF164" s="449"/>
      <c r="AG164" s="450"/>
    </row>
    <row r="165" spans="1:33">
      <c r="A165" s="92" t="s">
        <v>191</v>
      </c>
      <c r="B165" s="453" t="s">
        <v>197</v>
      </c>
      <c r="C165" s="463"/>
      <c r="D165" s="11">
        <v>157447</v>
      </c>
      <c r="E165" s="11">
        <v>3</v>
      </c>
      <c r="F165" s="447">
        <f t="shared" si="12"/>
        <v>334483</v>
      </c>
      <c r="G165" s="448">
        <f t="shared" si="13"/>
        <v>329083</v>
      </c>
      <c r="H165" s="449">
        <v>243743</v>
      </c>
      <c r="I165" s="450">
        <v>230806</v>
      </c>
      <c r="J165" s="449">
        <v>15941</v>
      </c>
      <c r="K165" s="450">
        <v>15650</v>
      </c>
      <c r="L165" s="449">
        <v>74532</v>
      </c>
      <c r="M165" s="449">
        <v>267</v>
      </c>
      <c r="N165" s="449"/>
      <c r="O165" s="450">
        <v>82530</v>
      </c>
      <c r="P165" s="450">
        <v>97</v>
      </c>
      <c r="Q165" s="450"/>
      <c r="R165" s="449"/>
      <c r="S165" s="450"/>
      <c r="T165" s="447">
        <f t="shared" si="14"/>
        <v>40872</v>
      </c>
      <c r="U165" s="448">
        <f t="shared" si="15"/>
        <v>60785</v>
      </c>
      <c r="V165" s="449">
        <v>25219</v>
      </c>
      <c r="W165" s="450">
        <v>23147.5</v>
      </c>
      <c r="X165" s="449">
        <v>277</v>
      </c>
      <c r="Y165" s="450">
        <v>359</v>
      </c>
      <c r="Z165" s="449">
        <v>15376</v>
      </c>
      <c r="AA165" s="449"/>
      <c r="AB165" s="449"/>
      <c r="AC165" s="450">
        <v>37278.5</v>
      </c>
      <c r="AD165" s="450"/>
      <c r="AE165" s="450"/>
      <c r="AF165" s="449"/>
      <c r="AG165" s="450"/>
    </row>
    <row r="166" spans="1:33">
      <c r="A166" s="92" t="s">
        <v>191</v>
      </c>
      <c r="B166" s="453" t="s">
        <v>198</v>
      </c>
      <c r="C166" s="462"/>
      <c r="D166" s="11">
        <v>157951</v>
      </c>
      <c r="E166" s="11">
        <v>3</v>
      </c>
      <c r="F166" s="447">
        <f t="shared" si="12"/>
        <v>419381</v>
      </c>
      <c r="G166" s="448">
        <f t="shared" si="13"/>
        <v>398558.5</v>
      </c>
      <c r="H166" s="449">
        <v>302934</v>
      </c>
      <c r="I166" s="450">
        <v>297097.5</v>
      </c>
      <c r="J166" s="449">
        <v>27013</v>
      </c>
      <c r="K166" s="450">
        <v>20545</v>
      </c>
      <c r="L166" s="449">
        <v>85774</v>
      </c>
      <c r="M166" s="449">
        <v>3603</v>
      </c>
      <c r="N166" s="449">
        <v>57</v>
      </c>
      <c r="O166" s="450">
        <v>76520</v>
      </c>
      <c r="P166" s="450">
        <v>4287</v>
      </c>
      <c r="Q166" s="450">
        <v>109</v>
      </c>
      <c r="R166" s="449"/>
      <c r="S166" s="450"/>
      <c r="T166" s="447">
        <f t="shared" si="14"/>
        <v>37408</v>
      </c>
      <c r="U166" s="448">
        <f t="shared" si="15"/>
        <v>34742.5</v>
      </c>
      <c r="V166" s="449">
        <v>14748</v>
      </c>
      <c r="W166" s="450">
        <v>13219</v>
      </c>
      <c r="X166" s="449">
        <v>979</v>
      </c>
      <c r="Y166" s="450">
        <v>1038</v>
      </c>
      <c r="Z166" s="449">
        <v>21459</v>
      </c>
      <c r="AA166" s="449">
        <v>213</v>
      </c>
      <c r="AB166" s="449">
        <v>9</v>
      </c>
      <c r="AC166" s="450">
        <v>20392.5</v>
      </c>
      <c r="AD166" s="450">
        <v>30</v>
      </c>
      <c r="AE166" s="450">
        <v>63</v>
      </c>
      <c r="AF166" s="449"/>
      <c r="AG166" s="450"/>
    </row>
    <row r="167" spans="1:33">
      <c r="A167" s="92" t="s">
        <v>191</v>
      </c>
      <c r="B167" s="453" t="s">
        <v>199</v>
      </c>
      <c r="C167" s="462"/>
      <c r="D167" s="11">
        <v>157058</v>
      </c>
      <c r="E167" s="93">
        <v>4</v>
      </c>
      <c r="F167" s="447">
        <f t="shared" si="12"/>
        <v>43504</v>
      </c>
      <c r="G167" s="448">
        <f t="shared" si="13"/>
        <v>44950.5</v>
      </c>
      <c r="H167" s="449">
        <v>30501</v>
      </c>
      <c r="I167" s="450">
        <v>29106.5</v>
      </c>
      <c r="J167" s="449"/>
      <c r="K167" s="450"/>
      <c r="L167" s="449">
        <v>13002</v>
      </c>
      <c r="M167" s="449">
        <v>1</v>
      </c>
      <c r="N167" s="449"/>
      <c r="O167" s="450">
        <v>15842</v>
      </c>
      <c r="P167" s="450">
        <v>2</v>
      </c>
      <c r="Q167" s="450"/>
      <c r="R167" s="449"/>
      <c r="S167" s="450"/>
      <c r="T167" s="447">
        <f t="shared" si="14"/>
        <v>1885</v>
      </c>
      <c r="U167" s="448">
        <f t="shared" si="15"/>
        <v>1714.5</v>
      </c>
      <c r="V167" s="449">
        <v>1495</v>
      </c>
      <c r="W167" s="450">
        <v>1243.5</v>
      </c>
      <c r="X167" s="449"/>
      <c r="Y167" s="450"/>
      <c r="Z167" s="449">
        <v>390</v>
      </c>
      <c r="AA167" s="449"/>
      <c r="AB167" s="449"/>
      <c r="AC167" s="450">
        <v>471</v>
      </c>
      <c r="AD167" s="450"/>
      <c r="AE167" s="450"/>
      <c r="AF167" s="449"/>
      <c r="AG167" s="450"/>
    </row>
    <row r="168" spans="1:33">
      <c r="A168" s="92" t="s">
        <v>191</v>
      </c>
      <c r="B168" s="453" t="s">
        <v>200</v>
      </c>
      <c r="C168" s="462"/>
      <c r="D168" s="11">
        <v>157173</v>
      </c>
      <c r="E168" s="93">
        <v>8</v>
      </c>
      <c r="F168" s="447">
        <f t="shared" si="12"/>
        <v>189108</v>
      </c>
      <c r="G168" s="448">
        <f t="shared" si="13"/>
        <v>195501.72</v>
      </c>
      <c r="H168" s="449">
        <v>108959</v>
      </c>
      <c r="I168" s="450">
        <v>113270.72</v>
      </c>
      <c r="J168" s="449">
        <v>6166</v>
      </c>
      <c r="K168" s="450">
        <v>6256</v>
      </c>
      <c r="L168" s="449">
        <v>73983</v>
      </c>
      <c r="M168" s="449"/>
      <c r="N168" s="449"/>
      <c r="O168" s="450">
        <v>75975</v>
      </c>
      <c r="P168" s="450"/>
      <c r="Q168" s="450"/>
      <c r="R168" s="449"/>
      <c r="S168" s="450"/>
      <c r="T168" s="447">
        <f t="shared" si="14"/>
        <v>0</v>
      </c>
      <c r="U168" s="448">
        <f t="shared" si="15"/>
        <v>0</v>
      </c>
      <c r="V168" s="449"/>
      <c r="W168" s="450"/>
      <c r="X168" s="449"/>
      <c r="Y168" s="450"/>
      <c r="Z168" s="449"/>
      <c r="AA168" s="449"/>
      <c r="AB168" s="449"/>
      <c r="AC168" s="450"/>
      <c r="AD168" s="450"/>
      <c r="AE168" s="450"/>
      <c r="AF168" s="449"/>
      <c r="AG168" s="450"/>
    </row>
    <row r="169" spans="1:33">
      <c r="A169" s="92" t="s">
        <v>191</v>
      </c>
      <c r="B169" s="453" t="s">
        <v>201</v>
      </c>
      <c r="C169" s="462"/>
      <c r="D169" s="11">
        <v>156921</v>
      </c>
      <c r="E169" s="93">
        <v>8</v>
      </c>
      <c r="F169" s="447">
        <f t="shared" si="12"/>
        <v>191032</v>
      </c>
      <c r="G169" s="448">
        <f t="shared" si="13"/>
        <v>192028.3</v>
      </c>
      <c r="H169" s="449">
        <v>120251</v>
      </c>
      <c r="I169" s="450">
        <v>114809.3</v>
      </c>
      <c r="J169" s="449">
        <v>9999</v>
      </c>
      <c r="K169" s="450">
        <v>15862</v>
      </c>
      <c r="L169" s="449">
        <v>60782</v>
      </c>
      <c r="M169" s="449"/>
      <c r="N169" s="449"/>
      <c r="O169" s="450">
        <v>61357</v>
      </c>
      <c r="P169" s="450"/>
      <c r="Q169" s="450"/>
      <c r="R169" s="449"/>
      <c r="S169" s="450"/>
      <c r="T169" s="447">
        <f t="shared" si="14"/>
        <v>0</v>
      </c>
      <c r="U169" s="448">
        <f t="shared" si="15"/>
        <v>0</v>
      </c>
      <c r="V169" s="449"/>
      <c r="W169" s="450"/>
      <c r="X169" s="449"/>
      <c r="Y169" s="450"/>
      <c r="Z169" s="449"/>
      <c r="AA169" s="449"/>
      <c r="AB169" s="449"/>
      <c r="AC169" s="450"/>
      <c r="AD169" s="450"/>
      <c r="AE169" s="450"/>
      <c r="AF169" s="449"/>
      <c r="AG169" s="450"/>
    </row>
    <row r="170" spans="1:33">
      <c r="A170" s="92" t="s">
        <v>191</v>
      </c>
      <c r="B170" s="453" t="s">
        <v>202</v>
      </c>
      <c r="C170" s="6" t="s">
        <v>799</v>
      </c>
      <c r="D170" s="11">
        <v>156231</v>
      </c>
      <c r="E170" s="4">
        <v>10</v>
      </c>
      <c r="F170" s="447">
        <f t="shared" si="12"/>
        <v>55450</v>
      </c>
      <c r="G170" s="448">
        <f t="shared" si="13"/>
        <v>55454</v>
      </c>
      <c r="H170" s="449">
        <v>29745</v>
      </c>
      <c r="I170" s="450">
        <v>29898</v>
      </c>
      <c r="J170" s="449">
        <v>2825</v>
      </c>
      <c r="K170" s="450">
        <v>2838</v>
      </c>
      <c r="L170" s="449">
        <v>22880</v>
      </c>
      <c r="M170" s="449"/>
      <c r="N170" s="449"/>
      <c r="O170" s="450">
        <v>22718</v>
      </c>
      <c r="P170" s="450"/>
      <c r="Q170" s="450"/>
      <c r="R170" s="449"/>
      <c r="S170" s="450"/>
      <c r="T170" s="447">
        <f t="shared" si="14"/>
        <v>0</v>
      </c>
      <c r="U170" s="448">
        <f t="shared" si="15"/>
        <v>0</v>
      </c>
      <c r="V170" s="449"/>
      <c r="W170" s="450"/>
      <c r="X170" s="449"/>
      <c r="Y170" s="450"/>
      <c r="Z170" s="449"/>
      <c r="AA170" s="449"/>
      <c r="AB170" s="449"/>
      <c r="AC170" s="450"/>
      <c r="AD170" s="450"/>
      <c r="AE170" s="450"/>
      <c r="AF170" s="449"/>
      <c r="AG170" s="450"/>
    </row>
    <row r="171" spans="1:33">
      <c r="A171" s="92" t="s">
        <v>191</v>
      </c>
      <c r="B171" s="453" t="s">
        <v>203</v>
      </c>
      <c r="C171" s="7" t="s">
        <v>800</v>
      </c>
      <c r="D171" s="11">
        <v>157553</v>
      </c>
      <c r="E171" s="93">
        <v>9</v>
      </c>
      <c r="F171" s="447">
        <f t="shared" si="12"/>
        <v>65854</v>
      </c>
      <c r="G171" s="448">
        <f t="shared" si="13"/>
        <v>59334.3</v>
      </c>
      <c r="H171" s="449">
        <v>29683</v>
      </c>
      <c r="I171" s="450">
        <v>24487.3</v>
      </c>
      <c r="J171" s="449">
        <v>884</v>
      </c>
      <c r="K171" s="450">
        <v>337</v>
      </c>
      <c r="L171" s="449">
        <v>35287</v>
      </c>
      <c r="M171" s="449"/>
      <c r="N171" s="449"/>
      <c r="O171" s="450">
        <v>34510</v>
      </c>
      <c r="P171" s="450"/>
      <c r="Q171" s="450"/>
      <c r="R171" s="449"/>
      <c r="S171" s="450"/>
      <c r="T171" s="447">
        <f t="shared" si="14"/>
        <v>0</v>
      </c>
      <c r="U171" s="448">
        <f t="shared" si="15"/>
        <v>0</v>
      </c>
      <c r="V171" s="449"/>
      <c r="W171" s="450"/>
      <c r="X171" s="449"/>
      <c r="Y171" s="450"/>
      <c r="Z171" s="449"/>
      <c r="AA171" s="449"/>
      <c r="AB171" s="449"/>
      <c r="AC171" s="450"/>
      <c r="AD171" s="450"/>
      <c r="AE171" s="450"/>
      <c r="AF171" s="449"/>
      <c r="AG171" s="450"/>
    </row>
    <row r="172" spans="1:33">
      <c r="A172" s="92" t="s">
        <v>191</v>
      </c>
      <c r="B172" s="453" t="s">
        <v>204</v>
      </c>
      <c r="C172" s="462"/>
      <c r="D172" s="11">
        <v>156648</v>
      </c>
      <c r="E172" s="93">
        <v>9</v>
      </c>
      <c r="F172" s="447">
        <f t="shared" si="12"/>
        <v>107071</v>
      </c>
      <c r="G172" s="448">
        <f t="shared" si="13"/>
        <v>107299.18</v>
      </c>
      <c r="H172" s="449">
        <v>51452</v>
      </c>
      <c r="I172" s="450">
        <v>49926.080000000002</v>
      </c>
      <c r="J172" s="449">
        <v>5866</v>
      </c>
      <c r="K172" s="450">
        <v>7217</v>
      </c>
      <c r="L172" s="449">
        <v>49753</v>
      </c>
      <c r="M172" s="449"/>
      <c r="N172" s="449"/>
      <c r="O172" s="450">
        <v>50156.1</v>
      </c>
      <c r="P172" s="450"/>
      <c r="Q172" s="450"/>
      <c r="R172" s="449"/>
      <c r="S172" s="450"/>
      <c r="T172" s="447">
        <f t="shared" si="14"/>
        <v>0</v>
      </c>
      <c r="U172" s="448">
        <f t="shared" si="15"/>
        <v>0</v>
      </c>
      <c r="V172" s="449"/>
      <c r="W172" s="450"/>
      <c r="X172" s="449"/>
      <c r="Y172" s="450"/>
      <c r="Z172" s="449"/>
      <c r="AA172" s="449"/>
      <c r="AB172" s="449"/>
      <c r="AC172" s="450"/>
      <c r="AD172" s="450"/>
      <c r="AE172" s="450"/>
      <c r="AF172" s="449"/>
      <c r="AG172" s="450"/>
    </row>
    <row r="173" spans="1:33">
      <c r="A173" s="92" t="s">
        <v>191</v>
      </c>
      <c r="B173" s="453" t="s">
        <v>207</v>
      </c>
      <c r="C173" s="462"/>
      <c r="D173" s="11">
        <v>157331</v>
      </c>
      <c r="E173" s="93">
        <v>9</v>
      </c>
      <c r="F173" s="447">
        <f t="shared" si="12"/>
        <v>68819</v>
      </c>
      <c r="G173" s="448">
        <f t="shared" si="13"/>
        <v>47106.400000000001</v>
      </c>
      <c r="H173" s="449">
        <v>27703</v>
      </c>
      <c r="I173" s="450">
        <v>24382.400000000001</v>
      </c>
      <c r="J173" s="449">
        <v>8622</v>
      </c>
      <c r="K173" s="450">
        <v>1107</v>
      </c>
      <c r="L173" s="449">
        <v>32494</v>
      </c>
      <c r="M173" s="449"/>
      <c r="N173" s="449"/>
      <c r="O173" s="450">
        <v>21617</v>
      </c>
      <c r="P173" s="450"/>
      <c r="Q173" s="450"/>
      <c r="R173" s="449"/>
      <c r="S173" s="450"/>
      <c r="T173" s="447">
        <f t="shared" si="14"/>
        <v>0</v>
      </c>
      <c r="U173" s="448">
        <f t="shared" si="15"/>
        <v>0</v>
      </c>
      <c r="V173" s="449"/>
      <c r="W173" s="450"/>
      <c r="X173" s="449"/>
      <c r="Y173" s="450"/>
      <c r="Z173" s="449"/>
      <c r="AA173" s="449"/>
      <c r="AB173" s="449"/>
      <c r="AC173" s="450"/>
      <c r="AD173" s="450"/>
      <c r="AE173" s="450"/>
      <c r="AF173" s="449"/>
      <c r="AG173" s="450"/>
    </row>
    <row r="174" spans="1:33">
      <c r="A174" s="92" t="s">
        <v>191</v>
      </c>
      <c r="B174" s="453" t="s">
        <v>208</v>
      </c>
      <c r="C174" s="462"/>
      <c r="D174" s="11">
        <v>247940</v>
      </c>
      <c r="E174" s="93">
        <v>9</v>
      </c>
      <c r="F174" s="447">
        <f t="shared" si="12"/>
        <v>67499</v>
      </c>
      <c r="G174" s="448">
        <f t="shared" si="13"/>
        <v>50659.79</v>
      </c>
      <c r="H174" s="449">
        <v>41944</v>
      </c>
      <c r="I174" s="450">
        <v>21542.79</v>
      </c>
      <c r="J174" s="449">
        <v>3656</v>
      </c>
      <c r="K174" s="450">
        <v>6255</v>
      </c>
      <c r="L174" s="449">
        <v>21899</v>
      </c>
      <c r="M174" s="449"/>
      <c r="N174" s="449"/>
      <c r="O174" s="450">
        <v>22862</v>
      </c>
      <c r="P174" s="450"/>
      <c r="Q174" s="450"/>
      <c r="R174" s="449"/>
      <c r="S174" s="450"/>
      <c r="T174" s="447">
        <f t="shared" si="14"/>
        <v>0</v>
      </c>
      <c r="U174" s="448">
        <f t="shared" si="15"/>
        <v>0</v>
      </c>
      <c r="V174" s="449"/>
      <c r="W174" s="450"/>
      <c r="X174" s="449"/>
      <c r="Y174" s="450"/>
      <c r="Z174" s="449"/>
      <c r="AA174" s="449"/>
      <c r="AB174" s="449"/>
      <c r="AC174" s="450"/>
      <c r="AD174" s="450"/>
      <c r="AE174" s="450"/>
      <c r="AF174" s="449"/>
      <c r="AG174" s="450"/>
    </row>
    <row r="175" spans="1:33">
      <c r="A175" s="92" t="s">
        <v>191</v>
      </c>
      <c r="B175" s="453" t="s">
        <v>209</v>
      </c>
      <c r="C175" s="462"/>
      <c r="D175" s="11">
        <v>157711</v>
      </c>
      <c r="E175" s="93">
        <v>9</v>
      </c>
      <c r="F175" s="447">
        <f t="shared" si="12"/>
        <v>109264</v>
      </c>
      <c r="G175" s="448">
        <f t="shared" si="13"/>
        <v>64729.2</v>
      </c>
      <c r="H175" s="449">
        <v>39060</v>
      </c>
      <c r="I175" s="450">
        <v>27105.200000000001</v>
      </c>
      <c r="J175" s="449">
        <v>4627</v>
      </c>
      <c r="K175" s="450">
        <v>6923</v>
      </c>
      <c r="L175" s="449">
        <v>65577</v>
      </c>
      <c r="M175" s="449"/>
      <c r="N175" s="449"/>
      <c r="O175" s="450">
        <v>30701</v>
      </c>
      <c r="P175" s="450"/>
      <c r="Q175" s="450"/>
      <c r="R175" s="449"/>
      <c r="S175" s="450"/>
      <c r="T175" s="447">
        <f t="shared" si="14"/>
        <v>0</v>
      </c>
      <c r="U175" s="448">
        <f t="shared" si="15"/>
        <v>0</v>
      </c>
      <c r="V175" s="449"/>
      <c r="W175" s="450"/>
      <c r="X175" s="449"/>
      <c r="Y175" s="450"/>
      <c r="Z175" s="449"/>
      <c r="AA175" s="449"/>
      <c r="AB175" s="449"/>
      <c r="AC175" s="450"/>
      <c r="AD175" s="450"/>
      <c r="AE175" s="450"/>
      <c r="AF175" s="449"/>
      <c r="AG175" s="450"/>
    </row>
    <row r="176" spans="1:33">
      <c r="A176" s="92" t="s">
        <v>191</v>
      </c>
      <c r="B176" s="453" t="s">
        <v>211</v>
      </c>
      <c r="C176" s="462"/>
      <c r="D176" s="11">
        <v>157483</v>
      </c>
      <c r="E176" s="93">
        <v>9</v>
      </c>
      <c r="F176" s="447">
        <f t="shared" si="12"/>
        <v>96971</v>
      </c>
      <c r="G176" s="448">
        <f t="shared" si="13"/>
        <v>71494.2</v>
      </c>
      <c r="H176" s="449">
        <v>50247</v>
      </c>
      <c r="I176" s="450">
        <v>43930.2</v>
      </c>
      <c r="J176" s="449">
        <v>5601</v>
      </c>
      <c r="K176" s="450">
        <v>4759</v>
      </c>
      <c r="L176" s="449">
        <v>41123</v>
      </c>
      <c r="M176" s="449"/>
      <c r="N176" s="449"/>
      <c r="O176" s="450">
        <v>22805</v>
      </c>
      <c r="P176" s="450"/>
      <c r="Q176" s="450"/>
      <c r="R176" s="449"/>
      <c r="S176" s="450"/>
      <c r="T176" s="447">
        <f t="shared" si="14"/>
        <v>0</v>
      </c>
      <c r="U176" s="448">
        <f t="shared" si="15"/>
        <v>0</v>
      </c>
      <c r="V176" s="449"/>
      <c r="W176" s="450"/>
      <c r="X176" s="449"/>
      <c r="Y176" s="450"/>
      <c r="Z176" s="449"/>
      <c r="AA176" s="449"/>
      <c r="AB176" s="449"/>
      <c r="AC176" s="450"/>
      <c r="AD176" s="450"/>
      <c r="AE176" s="450"/>
      <c r="AF176" s="449"/>
      <c r="AG176" s="450"/>
    </row>
    <row r="177" spans="1:33">
      <c r="A177" s="92" t="s">
        <v>191</v>
      </c>
      <c r="B177" s="453" t="s">
        <v>212</v>
      </c>
      <c r="C177" s="463"/>
      <c r="D177" s="11">
        <v>156790</v>
      </c>
      <c r="E177" s="93">
        <v>10</v>
      </c>
      <c r="F177" s="447">
        <f t="shared" si="12"/>
        <v>55038</v>
      </c>
      <c r="G177" s="448">
        <f t="shared" si="13"/>
        <v>102499.2</v>
      </c>
      <c r="H177" s="449">
        <v>19036</v>
      </c>
      <c r="I177" s="450">
        <v>37046.199999999997</v>
      </c>
      <c r="J177" s="449">
        <v>2776</v>
      </c>
      <c r="K177" s="450">
        <v>5006</v>
      </c>
      <c r="L177" s="449">
        <v>33226</v>
      </c>
      <c r="M177" s="449"/>
      <c r="N177" s="449"/>
      <c r="O177" s="450">
        <v>60447</v>
      </c>
      <c r="P177" s="450"/>
      <c r="Q177" s="450"/>
      <c r="R177" s="449"/>
      <c r="S177" s="450"/>
      <c r="T177" s="447">
        <f t="shared" si="14"/>
        <v>0</v>
      </c>
      <c r="U177" s="448">
        <f t="shared" si="15"/>
        <v>0</v>
      </c>
      <c r="V177" s="449"/>
      <c r="W177" s="450"/>
      <c r="X177" s="449"/>
      <c r="Y177" s="450"/>
      <c r="Z177" s="449"/>
      <c r="AA177" s="449"/>
      <c r="AB177" s="449"/>
      <c r="AC177" s="450"/>
      <c r="AD177" s="450"/>
      <c r="AE177" s="450"/>
      <c r="AF177" s="449"/>
      <c r="AG177" s="450"/>
    </row>
    <row r="178" spans="1:33">
      <c r="A178" s="92" t="s">
        <v>191</v>
      </c>
      <c r="B178" s="453" t="s">
        <v>213</v>
      </c>
      <c r="C178" s="462"/>
      <c r="D178" s="11">
        <v>156851</v>
      </c>
      <c r="E178" s="93">
        <v>10</v>
      </c>
      <c r="F178" s="447">
        <f t="shared" si="12"/>
        <v>27419</v>
      </c>
      <c r="G178" s="448">
        <f t="shared" si="13"/>
        <v>53702.79</v>
      </c>
      <c r="H178" s="449">
        <v>12489</v>
      </c>
      <c r="I178" s="450">
        <v>28043.79</v>
      </c>
      <c r="J178" s="449">
        <v>2859</v>
      </c>
      <c r="K178" s="450"/>
      <c r="L178" s="449">
        <v>12071</v>
      </c>
      <c r="M178" s="449"/>
      <c r="N178" s="449"/>
      <c r="O178" s="450">
        <v>25659</v>
      </c>
      <c r="P178" s="450"/>
      <c r="Q178" s="450"/>
      <c r="R178" s="449"/>
      <c r="S178" s="450"/>
      <c r="T178" s="447">
        <f t="shared" si="14"/>
        <v>0</v>
      </c>
      <c r="U178" s="448">
        <f t="shared" si="15"/>
        <v>0</v>
      </c>
      <c r="V178" s="449"/>
      <c r="W178" s="450"/>
      <c r="X178" s="449"/>
      <c r="Y178" s="450"/>
      <c r="Z178" s="449"/>
      <c r="AA178" s="449"/>
      <c r="AB178" s="449"/>
      <c r="AC178" s="450"/>
      <c r="AD178" s="450"/>
      <c r="AE178" s="450"/>
      <c r="AF178" s="449"/>
      <c r="AG178" s="450"/>
    </row>
    <row r="179" spans="1:33">
      <c r="A179" s="92" t="s">
        <v>191</v>
      </c>
      <c r="B179" s="453" t="s">
        <v>205</v>
      </c>
      <c r="C179" s="463"/>
      <c r="D179" s="11">
        <v>156860</v>
      </c>
      <c r="E179" s="93">
        <v>10</v>
      </c>
      <c r="F179" s="447">
        <f t="shared" si="12"/>
        <v>46952</v>
      </c>
      <c r="G179" s="448">
        <f t="shared" si="13"/>
        <v>94718.170000000013</v>
      </c>
      <c r="H179" s="449">
        <v>24202</v>
      </c>
      <c r="I179" s="450">
        <v>48121.37</v>
      </c>
      <c r="J179" s="449">
        <v>1219</v>
      </c>
      <c r="K179" s="450">
        <v>7069</v>
      </c>
      <c r="L179" s="449">
        <v>21531</v>
      </c>
      <c r="M179" s="449"/>
      <c r="N179" s="449"/>
      <c r="O179" s="450">
        <v>39527.800000000003</v>
      </c>
      <c r="P179" s="450"/>
      <c r="Q179" s="450"/>
      <c r="R179" s="449"/>
      <c r="S179" s="450"/>
      <c r="T179" s="447">
        <f t="shared" si="14"/>
        <v>0</v>
      </c>
      <c r="U179" s="448">
        <f t="shared" si="15"/>
        <v>0</v>
      </c>
      <c r="V179" s="449"/>
      <c r="W179" s="450"/>
      <c r="X179" s="449"/>
      <c r="Y179" s="450"/>
      <c r="Z179" s="449"/>
      <c r="AA179" s="449"/>
      <c r="AB179" s="449"/>
      <c r="AC179" s="450"/>
      <c r="AD179" s="450"/>
      <c r="AE179" s="450"/>
      <c r="AF179" s="449"/>
      <c r="AG179" s="450"/>
    </row>
    <row r="180" spans="1:33">
      <c r="A180" s="92" t="s">
        <v>191</v>
      </c>
      <c r="B180" s="453" t="s">
        <v>206</v>
      </c>
      <c r="C180" s="463"/>
      <c r="D180" s="11">
        <v>157304</v>
      </c>
      <c r="E180" s="93">
        <v>10</v>
      </c>
      <c r="F180" s="447">
        <f t="shared" si="12"/>
        <v>49982</v>
      </c>
      <c r="G180" s="448">
        <f t="shared" si="13"/>
        <v>54952.31</v>
      </c>
      <c r="H180" s="449">
        <v>21259</v>
      </c>
      <c r="I180" s="450">
        <v>17943.009999999998</v>
      </c>
      <c r="J180" s="449">
        <v>5988</v>
      </c>
      <c r="K180" s="450">
        <v>3755.3</v>
      </c>
      <c r="L180" s="449">
        <v>22735</v>
      </c>
      <c r="M180" s="449"/>
      <c r="N180" s="449"/>
      <c r="O180" s="450">
        <v>33254</v>
      </c>
      <c r="P180" s="450"/>
      <c r="Q180" s="450"/>
      <c r="R180" s="449"/>
      <c r="S180" s="450"/>
      <c r="T180" s="447">
        <f t="shared" si="14"/>
        <v>0</v>
      </c>
      <c r="U180" s="448">
        <f t="shared" si="15"/>
        <v>0</v>
      </c>
      <c r="V180" s="449"/>
      <c r="W180" s="450"/>
      <c r="X180" s="449"/>
      <c r="Y180" s="450"/>
      <c r="Z180" s="449"/>
      <c r="AA180" s="449"/>
      <c r="AB180" s="449"/>
      <c r="AC180" s="450"/>
      <c r="AD180" s="450"/>
      <c r="AE180" s="450"/>
      <c r="AF180" s="449"/>
      <c r="AG180" s="450"/>
    </row>
    <row r="181" spans="1:33">
      <c r="A181" s="92" t="s">
        <v>191</v>
      </c>
      <c r="B181" s="453" t="s">
        <v>210</v>
      </c>
      <c r="C181" s="463"/>
      <c r="D181" s="11">
        <v>157739</v>
      </c>
      <c r="E181" s="93">
        <v>10</v>
      </c>
      <c r="F181" s="447">
        <f t="shared" si="12"/>
        <v>54900</v>
      </c>
      <c r="G181" s="448">
        <f t="shared" si="13"/>
        <v>25803</v>
      </c>
      <c r="H181" s="449">
        <v>30970</v>
      </c>
      <c r="I181" s="450">
        <v>11922</v>
      </c>
      <c r="J181" s="449"/>
      <c r="K181" s="450">
        <v>2351</v>
      </c>
      <c r="L181" s="449">
        <v>23930</v>
      </c>
      <c r="M181" s="449"/>
      <c r="N181" s="449"/>
      <c r="O181" s="450">
        <v>11530</v>
      </c>
      <c r="P181" s="450"/>
      <c r="Q181" s="450"/>
      <c r="R181" s="449"/>
      <c r="S181" s="450"/>
      <c r="T181" s="447">
        <f t="shared" si="14"/>
        <v>0</v>
      </c>
      <c r="U181" s="448">
        <f t="shared" si="15"/>
        <v>0</v>
      </c>
      <c r="V181" s="449"/>
      <c r="W181" s="450"/>
      <c r="X181" s="449"/>
      <c r="Y181" s="450"/>
      <c r="Z181" s="449"/>
      <c r="AA181" s="449"/>
      <c r="AB181" s="449"/>
      <c r="AC181" s="450"/>
      <c r="AD181" s="450"/>
      <c r="AE181" s="450"/>
      <c r="AF181" s="449"/>
      <c r="AG181" s="450"/>
    </row>
    <row r="182" spans="1:33">
      <c r="A182" s="92" t="s">
        <v>191</v>
      </c>
      <c r="B182" s="453" t="s">
        <v>214</v>
      </c>
      <c r="C182" s="462"/>
      <c r="D182" s="11">
        <v>157438</v>
      </c>
      <c r="E182" s="93">
        <v>12</v>
      </c>
      <c r="F182" s="447">
        <f t="shared" si="12"/>
        <v>70417</v>
      </c>
      <c r="G182" s="448">
        <f t="shared" si="13"/>
        <v>74168.600000000006</v>
      </c>
      <c r="H182" s="449">
        <v>46248</v>
      </c>
      <c r="I182" s="450">
        <v>45793.599999999999</v>
      </c>
      <c r="J182" s="449">
        <v>1814</v>
      </c>
      <c r="K182" s="450">
        <v>2278</v>
      </c>
      <c r="L182" s="449">
        <v>22355</v>
      </c>
      <c r="M182" s="449"/>
      <c r="N182" s="449"/>
      <c r="O182" s="450">
        <v>26097</v>
      </c>
      <c r="P182" s="450"/>
      <c r="Q182" s="450"/>
      <c r="R182" s="449"/>
      <c r="S182" s="450"/>
      <c r="T182" s="447">
        <f t="shared" si="14"/>
        <v>0</v>
      </c>
      <c r="U182" s="448">
        <f t="shared" si="15"/>
        <v>0</v>
      </c>
      <c r="V182" s="449"/>
      <c r="W182" s="450"/>
      <c r="X182" s="449"/>
      <c r="Y182" s="450"/>
      <c r="Z182" s="449"/>
      <c r="AA182" s="449"/>
      <c r="AB182" s="449"/>
      <c r="AC182" s="450"/>
      <c r="AD182" s="450"/>
      <c r="AE182" s="450"/>
      <c r="AF182" s="449"/>
      <c r="AG182" s="450"/>
    </row>
    <row r="183" spans="1:33">
      <c r="A183" s="92" t="s">
        <v>191</v>
      </c>
      <c r="B183" s="453" t="s">
        <v>215</v>
      </c>
      <c r="C183" s="462"/>
      <c r="D183" s="11">
        <v>156338</v>
      </c>
      <c r="E183" s="93">
        <v>12</v>
      </c>
      <c r="F183" s="447">
        <f t="shared" si="12"/>
        <v>79544</v>
      </c>
      <c r="G183" s="448">
        <f t="shared" si="13"/>
        <v>80352.7</v>
      </c>
      <c r="H183" s="449">
        <v>48771</v>
      </c>
      <c r="I183" s="450">
        <v>48628.7</v>
      </c>
      <c r="J183" s="449">
        <v>6013</v>
      </c>
      <c r="K183" s="450">
        <v>5915</v>
      </c>
      <c r="L183" s="449">
        <v>24760</v>
      </c>
      <c r="M183" s="449"/>
      <c r="N183" s="449"/>
      <c r="O183" s="450">
        <v>25809</v>
      </c>
      <c r="P183" s="450"/>
      <c r="Q183" s="450"/>
      <c r="R183" s="449"/>
      <c r="S183" s="450"/>
      <c r="T183" s="447">
        <f t="shared" si="14"/>
        <v>0</v>
      </c>
      <c r="U183" s="448">
        <f t="shared" si="15"/>
        <v>0</v>
      </c>
      <c r="V183" s="449"/>
      <c r="W183" s="450"/>
      <c r="X183" s="449"/>
      <c r="Y183" s="450"/>
      <c r="Z183" s="449"/>
      <c r="AA183" s="449"/>
      <c r="AB183" s="449"/>
      <c r="AC183" s="450"/>
      <c r="AD183" s="450"/>
      <c r="AE183" s="450"/>
      <c r="AF183" s="449"/>
      <c r="AG183" s="450"/>
    </row>
    <row r="184" spans="1:33">
      <c r="A184" s="94" t="s">
        <v>216</v>
      </c>
      <c r="B184" s="95" t="s">
        <v>217</v>
      </c>
      <c r="C184" s="96"/>
      <c r="D184" s="97">
        <v>159391</v>
      </c>
      <c r="E184" s="97">
        <v>1</v>
      </c>
      <c r="F184" s="447">
        <f t="shared" si="12"/>
        <v>697351.99999999977</v>
      </c>
      <c r="G184" s="448">
        <f t="shared" si="13"/>
        <v>701521.99999999988</v>
      </c>
      <c r="H184" s="449">
        <v>672267.39568345295</v>
      </c>
      <c r="I184" s="464">
        <v>669282.60641848505</v>
      </c>
      <c r="J184" s="449"/>
      <c r="K184" s="450"/>
      <c r="L184" s="449">
        <v>25084.6043165468</v>
      </c>
      <c r="M184" s="449"/>
      <c r="N184" s="449"/>
      <c r="O184" s="464">
        <v>32239.3935815148</v>
      </c>
      <c r="P184" s="450"/>
      <c r="Q184" s="450"/>
      <c r="R184" s="449"/>
      <c r="S184" s="450"/>
      <c r="T184" s="447">
        <f t="shared" si="14"/>
        <v>137669.49999999959</v>
      </c>
      <c r="U184" s="448">
        <f t="shared" si="15"/>
        <v>143983.50000000038</v>
      </c>
      <c r="V184" s="449">
        <v>129604.502929115</v>
      </c>
      <c r="W184" s="464">
        <v>133418.73170494399</v>
      </c>
      <c r="X184" s="449"/>
      <c r="Y184" s="450"/>
      <c r="Z184" s="449">
        <v>8064.9970708845904</v>
      </c>
      <c r="AA184" s="449"/>
      <c r="AB184" s="449"/>
      <c r="AC184" s="464">
        <v>10564.768295056399</v>
      </c>
      <c r="AD184" s="450"/>
      <c r="AE184" s="450"/>
      <c r="AF184" s="449"/>
      <c r="AG184" s="450"/>
    </row>
    <row r="185" spans="1:33">
      <c r="A185" s="94" t="s">
        <v>216</v>
      </c>
      <c r="B185" s="95" t="s">
        <v>218</v>
      </c>
      <c r="C185" s="96"/>
      <c r="D185" s="97">
        <v>159647</v>
      </c>
      <c r="E185" s="97">
        <v>2</v>
      </c>
      <c r="F185" s="447">
        <f t="shared" si="12"/>
        <v>273800.00000000017</v>
      </c>
      <c r="G185" s="448">
        <f t="shared" si="13"/>
        <v>266965.00000000017</v>
      </c>
      <c r="H185" s="449">
        <v>237007.931112622</v>
      </c>
      <c r="I185" s="464">
        <v>228469.24582284299</v>
      </c>
      <c r="J185" s="449"/>
      <c r="K185" s="450"/>
      <c r="L185" s="449">
        <v>36792.068887378198</v>
      </c>
      <c r="M185" s="449"/>
      <c r="N185" s="449"/>
      <c r="O185" s="464">
        <v>38495.7541771572</v>
      </c>
      <c r="P185" s="450"/>
      <c r="Q185" s="450"/>
      <c r="R185" s="449"/>
      <c r="S185" s="450"/>
      <c r="T185" s="447">
        <f t="shared" si="14"/>
        <v>23077.999999999949</v>
      </c>
      <c r="U185" s="448">
        <f t="shared" si="15"/>
        <v>22038</v>
      </c>
      <c r="V185" s="449">
        <v>18266.093360995801</v>
      </c>
      <c r="W185" s="464">
        <v>16013.695825049699</v>
      </c>
      <c r="X185" s="449"/>
      <c r="Y185" s="450"/>
      <c r="Z185" s="449">
        <v>4811.9066390041498</v>
      </c>
      <c r="AA185" s="449"/>
      <c r="AB185" s="449"/>
      <c r="AC185" s="464">
        <v>6024.3041749503</v>
      </c>
      <c r="AD185" s="450"/>
      <c r="AE185" s="450"/>
      <c r="AF185" s="449"/>
      <c r="AG185" s="450"/>
    </row>
    <row r="186" spans="1:33">
      <c r="A186" s="94" t="s">
        <v>216</v>
      </c>
      <c r="B186" s="95" t="s">
        <v>219</v>
      </c>
      <c r="C186" s="96"/>
      <c r="D186" s="97">
        <v>160658</v>
      </c>
      <c r="E186" s="97">
        <v>2</v>
      </c>
      <c r="F186" s="447">
        <f t="shared" si="12"/>
        <v>402896.00000000041</v>
      </c>
      <c r="G186" s="448">
        <f t="shared" si="13"/>
        <v>386247.99999999959</v>
      </c>
      <c r="H186" s="449">
        <v>358651.903104253</v>
      </c>
      <c r="I186" s="464">
        <v>336911.29300291499</v>
      </c>
      <c r="J186" s="449"/>
      <c r="K186" s="450"/>
      <c r="L186" s="449">
        <v>44244.096895747403</v>
      </c>
      <c r="M186" s="449"/>
      <c r="N186" s="449"/>
      <c r="O186" s="464">
        <v>49336.706997084599</v>
      </c>
      <c r="P186" s="450"/>
      <c r="Q186" s="450"/>
      <c r="R186" s="449"/>
      <c r="S186" s="450"/>
      <c r="T186" s="447">
        <f t="shared" si="14"/>
        <v>32602.000000000018</v>
      </c>
      <c r="U186" s="448">
        <f t="shared" si="15"/>
        <v>38718.999999999993</v>
      </c>
      <c r="V186" s="449">
        <v>27878.036734693898</v>
      </c>
      <c r="W186" s="464">
        <v>31832.899367088601</v>
      </c>
      <c r="X186" s="449"/>
      <c r="Y186" s="450"/>
      <c r="Z186" s="449">
        <v>4723.9632653061199</v>
      </c>
      <c r="AA186" s="449"/>
      <c r="AB186" s="449"/>
      <c r="AC186" s="464">
        <v>6886.1006329113898</v>
      </c>
      <c r="AD186" s="450"/>
      <c r="AE186" s="450"/>
      <c r="AF186" s="449"/>
      <c r="AG186" s="450"/>
    </row>
    <row r="187" spans="1:33">
      <c r="A187" s="94" t="s">
        <v>216</v>
      </c>
      <c r="B187" s="95" t="s">
        <v>220</v>
      </c>
      <c r="C187" s="96"/>
      <c r="D187" s="97">
        <v>159939</v>
      </c>
      <c r="E187" s="97">
        <v>2</v>
      </c>
      <c r="F187" s="447">
        <f t="shared" si="12"/>
        <v>163642.99999999951</v>
      </c>
      <c r="G187" s="448">
        <f t="shared" si="13"/>
        <v>165664.99999999971</v>
      </c>
      <c r="H187" s="449">
        <v>136929.518117295</v>
      </c>
      <c r="I187" s="464">
        <v>138525.341296928</v>
      </c>
      <c r="J187" s="449"/>
      <c r="K187" s="450"/>
      <c r="L187" s="449">
        <v>26713.481882704498</v>
      </c>
      <c r="M187" s="449"/>
      <c r="N187" s="449"/>
      <c r="O187" s="464">
        <v>27139.658703071698</v>
      </c>
      <c r="P187" s="450"/>
      <c r="Q187" s="450"/>
      <c r="R187" s="449"/>
      <c r="S187" s="450"/>
      <c r="T187" s="447">
        <f t="shared" si="14"/>
        <v>22842.99999999996</v>
      </c>
      <c r="U187" s="448">
        <f t="shared" si="15"/>
        <v>23311.000000000022</v>
      </c>
      <c r="V187" s="449">
        <v>18461.871543264901</v>
      </c>
      <c r="W187" s="464">
        <v>18787.0323450135</v>
      </c>
      <c r="X187" s="449"/>
      <c r="Y187" s="450"/>
      <c r="Z187" s="449">
        <v>4381.1284567350604</v>
      </c>
      <c r="AA187" s="449"/>
      <c r="AB187" s="449"/>
      <c r="AC187" s="464">
        <v>4523.9676549865198</v>
      </c>
      <c r="AD187" s="450"/>
      <c r="AE187" s="450"/>
      <c r="AF187" s="449"/>
      <c r="AG187" s="450"/>
    </row>
    <row r="188" spans="1:33" s="27" customFormat="1" ht="13.5" customHeight="1">
      <c r="A188" s="94" t="s">
        <v>216</v>
      </c>
      <c r="B188" s="95" t="s">
        <v>226</v>
      </c>
      <c r="C188" s="99"/>
      <c r="D188" s="97">
        <v>159717</v>
      </c>
      <c r="E188" s="97">
        <v>3</v>
      </c>
      <c r="F188" s="447">
        <f t="shared" si="12"/>
        <v>186338.99999999959</v>
      </c>
      <c r="G188" s="448">
        <f t="shared" si="13"/>
        <v>182438.99999999971</v>
      </c>
      <c r="H188" s="449">
        <v>142010.843729263</v>
      </c>
      <c r="I188" s="464">
        <v>139121.27453625601</v>
      </c>
      <c r="J188" s="449"/>
      <c r="K188" s="450"/>
      <c r="L188" s="449">
        <v>44328.156270736603</v>
      </c>
      <c r="M188" s="449"/>
      <c r="N188" s="449"/>
      <c r="O188" s="464">
        <v>43317.7254637437</v>
      </c>
      <c r="P188" s="450"/>
      <c r="Q188" s="450"/>
      <c r="R188" s="449"/>
      <c r="S188" s="450"/>
      <c r="T188" s="447">
        <f t="shared" si="14"/>
        <v>10635</v>
      </c>
      <c r="U188" s="448">
        <f t="shared" si="15"/>
        <v>10602.999999999989</v>
      </c>
      <c r="V188" s="449">
        <v>4688.0816326530603</v>
      </c>
      <c r="W188" s="464">
        <v>4582.8290766208202</v>
      </c>
      <c r="X188" s="449"/>
      <c r="Y188" s="450"/>
      <c r="Z188" s="449">
        <v>5946.9183673469397</v>
      </c>
      <c r="AA188" s="449"/>
      <c r="AB188" s="449"/>
      <c r="AC188" s="464">
        <v>6020.1709233791698</v>
      </c>
      <c r="AD188" s="450"/>
      <c r="AE188" s="450"/>
      <c r="AF188" s="449"/>
      <c r="AG188" s="450"/>
    </row>
    <row r="189" spans="1:33">
      <c r="A189" s="94" t="s">
        <v>216</v>
      </c>
      <c r="B189" s="95" t="s">
        <v>221</v>
      </c>
      <c r="C189" s="96"/>
      <c r="D189" s="97">
        <v>160612</v>
      </c>
      <c r="E189" s="97">
        <v>3</v>
      </c>
      <c r="F189" s="447">
        <f t="shared" si="12"/>
        <v>325019.99999999977</v>
      </c>
      <c r="G189" s="448">
        <f t="shared" si="13"/>
        <v>326452.00000000052</v>
      </c>
      <c r="H189" s="449">
        <v>270116.75134433497</v>
      </c>
      <c r="I189" s="464">
        <v>269224.64283108403</v>
      </c>
      <c r="J189" s="449"/>
      <c r="K189" s="450"/>
      <c r="L189" s="449">
        <v>54903.2486556648</v>
      </c>
      <c r="M189" s="449"/>
      <c r="N189" s="449"/>
      <c r="O189" s="464">
        <v>57227.357168916496</v>
      </c>
      <c r="P189" s="450"/>
      <c r="Q189" s="450"/>
      <c r="R189" s="449"/>
      <c r="S189" s="450"/>
      <c r="T189" s="447">
        <f t="shared" si="14"/>
        <v>16667.000000000029</v>
      </c>
      <c r="U189" s="448">
        <f t="shared" si="15"/>
        <v>16816.00000000004</v>
      </c>
      <c r="V189" s="449">
        <v>11636.8693693694</v>
      </c>
      <c r="W189" s="464">
        <v>11451.6199095023</v>
      </c>
      <c r="X189" s="449"/>
      <c r="Y189" s="450"/>
      <c r="Z189" s="449">
        <v>5030.1306306306296</v>
      </c>
      <c r="AA189" s="449"/>
      <c r="AB189" s="449"/>
      <c r="AC189" s="464">
        <v>5364.3800904977397</v>
      </c>
      <c r="AD189" s="450"/>
      <c r="AE189" s="450"/>
      <c r="AF189" s="449"/>
      <c r="AG189" s="450"/>
    </row>
    <row r="190" spans="1:33">
      <c r="A190" s="94" t="s">
        <v>216</v>
      </c>
      <c r="B190" s="95" t="s">
        <v>222</v>
      </c>
      <c r="C190" s="96"/>
      <c r="D190" s="97">
        <v>160621</v>
      </c>
      <c r="E190" s="97">
        <v>3</v>
      </c>
      <c r="F190" s="447">
        <f t="shared" si="12"/>
        <v>154319.0000000002</v>
      </c>
      <c r="G190" s="448">
        <f t="shared" si="13"/>
        <v>158809</v>
      </c>
      <c r="H190" s="449">
        <v>138649.00466451401</v>
      </c>
      <c r="I190" s="464">
        <v>139604.96740273401</v>
      </c>
      <c r="J190" s="449"/>
      <c r="K190" s="450"/>
      <c r="L190" s="449">
        <v>15669.995335486199</v>
      </c>
      <c r="M190" s="449"/>
      <c r="N190" s="449"/>
      <c r="O190" s="464">
        <v>19204.032597265999</v>
      </c>
      <c r="P190" s="450"/>
      <c r="Q190" s="450"/>
      <c r="R190" s="449"/>
      <c r="S190" s="450"/>
      <c r="T190" s="447">
        <f t="shared" si="14"/>
        <v>16591.99999999996</v>
      </c>
      <c r="U190" s="448">
        <f t="shared" si="15"/>
        <v>15770.999999999949</v>
      </c>
      <c r="V190" s="449">
        <v>14301.387755102</v>
      </c>
      <c r="W190" s="464">
        <v>13542.697929354399</v>
      </c>
      <c r="X190" s="449"/>
      <c r="Y190" s="450"/>
      <c r="Z190" s="449">
        <v>2290.61224489796</v>
      </c>
      <c r="AA190" s="449"/>
      <c r="AB190" s="449"/>
      <c r="AC190" s="464">
        <v>2228.30207064555</v>
      </c>
      <c r="AD190" s="450"/>
      <c r="AE190" s="450"/>
      <c r="AF190" s="449"/>
      <c r="AG190" s="450"/>
    </row>
    <row r="191" spans="1:33">
      <c r="A191" s="94" t="s">
        <v>216</v>
      </c>
      <c r="B191" s="95" t="s">
        <v>223</v>
      </c>
      <c r="C191" s="96"/>
      <c r="D191" s="97">
        <v>159993</v>
      </c>
      <c r="E191" s="97">
        <v>3</v>
      </c>
      <c r="F191" s="447">
        <f t="shared" si="12"/>
        <v>191309.99999999951</v>
      </c>
      <c r="G191" s="448">
        <f t="shared" si="13"/>
        <v>180638</v>
      </c>
      <c r="H191" s="449">
        <v>139134.545454545</v>
      </c>
      <c r="I191" s="464">
        <v>131137.20000000001</v>
      </c>
      <c r="J191" s="449"/>
      <c r="K191" s="450"/>
      <c r="L191" s="449">
        <v>52175.4545454545</v>
      </c>
      <c r="M191" s="449"/>
      <c r="N191" s="449"/>
      <c r="O191" s="464">
        <v>49500.800000000003</v>
      </c>
      <c r="P191" s="450"/>
      <c r="Q191" s="450"/>
      <c r="R191" s="449"/>
      <c r="S191" s="450"/>
      <c r="T191" s="447">
        <f t="shared" si="14"/>
        <v>33018</v>
      </c>
      <c r="U191" s="448">
        <f t="shared" si="15"/>
        <v>38869</v>
      </c>
      <c r="V191" s="449">
        <v>13938.5778491172</v>
      </c>
      <c r="W191" s="464">
        <v>15671.171965317901</v>
      </c>
      <c r="X191" s="449"/>
      <c r="Y191" s="450"/>
      <c r="Z191" s="449">
        <v>19079.422150882801</v>
      </c>
      <c r="AA191" s="449"/>
      <c r="AB191" s="449"/>
      <c r="AC191" s="464">
        <v>23197.828034682101</v>
      </c>
      <c r="AD191" s="450"/>
      <c r="AE191" s="450"/>
      <c r="AF191" s="449"/>
      <c r="AG191" s="450"/>
    </row>
    <row r="192" spans="1:33">
      <c r="A192" s="94" t="s">
        <v>216</v>
      </c>
      <c r="B192" s="95" t="s">
        <v>224</v>
      </c>
      <c r="C192" s="96"/>
      <c r="D192" s="97">
        <v>159009</v>
      </c>
      <c r="E192" s="97">
        <v>4</v>
      </c>
      <c r="F192" s="447">
        <f t="shared" si="12"/>
        <v>121264.99999999967</v>
      </c>
      <c r="G192" s="448">
        <f t="shared" si="13"/>
        <v>120395.00000000029</v>
      </c>
      <c r="H192" s="449">
        <v>111761.892935982</v>
      </c>
      <c r="I192" s="464">
        <v>109480.068681319</v>
      </c>
      <c r="J192" s="449"/>
      <c r="K192" s="450"/>
      <c r="L192" s="449">
        <v>9503.1070640176604</v>
      </c>
      <c r="M192" s="449"/>
      <c r="N192" s="449"/>
      <c r="O192" s="464">
        <v>10914.9313186813</v>
      </c>
      <c r="P192" s="450"/>
      <c r="Q192" s="450"/>
      <c r="R192" s="449"/>
      <c r="S192" s="450"/>
      <c r="T192" s="447">
        <f t="shared" si="14"/>
        <v>19113.999999999982</v>
      </c>
      <c r="U192" s="448">
        <f t="shared" si="15"/>
        <v>18096.00000000004</v>
      </c>
      <c r="V192" s="449">
        <v>15582.6744868035</v>
      </c>
      <c r="W192" s="464">
        <v>10241.142857142901</v>
      </c>
      <c r="X192" s="449"/>
      <c r="Y192" s="450"/>
      <c r="Z192" s="449">
        <v>3531.3255131964802</v>
      </c>
      <c r="AA192" s="449"/>
      <c r="AB192" s="449"/>
      <c r="AC192" s="464">
        <v>7854.8571428571404</v>
      </c>
      <c r="AD192" s="450"/>
      <c r="AE192" s="450"/>
      <c r="AF192" s="449"/>
      <c r="AG192" s="450"/>
    </row>
    <row r="193" spans="1:33">
      <c r="A193" s="94" t="s">
        <v>216</v>
      </c>
      <c r="B193" s="95" t="s">
        <v>225</v>
      </c>
      <c r="C193" s="96"/>
      <c r="D193" s="97">
        <v>159416</v>
      </c>
      <c r="E193" s="97">
        <v>4</v>
      </c>
      <c r="F193" s="447">
        <f t="shared" si="12"/>
        <v>58957</v>
      </c>
      <c r="G193" s="448">
        <f t="shared" si="13"/>
        <v>59855</v>
      </c>
      <c r="H193" s="449">
        <v>40382.772727272699</v>
      </c>
      <c r="I193" s="464">
        <v>36477.586588061902</v>
      </c>
      <c r="J193" s="449"/>
      <c r="K193" s="450"/>
      <c r="L193" s="449">
        <v>18574.227272727301</v>
      </c>
      <c r="M193" s="449"/>
      <c r="N193" s="449"/>
      <c r="O193" s="464">
        <v>23377.413411938101</v>
      </c>
      <c r="P193" s="450"/>
      <c r="Q193" s="450"/>
      <c r="R193" s="449"/>
      <c r="S193" s="450"/>
      <c r="T193" s="447">
        <f t="shared" si="14"/>
        <v>70206</v>
      </c>
      <c r="U193" s="448">
        <f t="shared" si="15"/>
        <v>97416</v>
      </c>
      <c r="V193" s="449">
        <v>26258.149606299201</v>
      </c>
      <c r="W193" s="464">
        <v>26470.066350710898</v>
      </c>
      <c r="X193" s="449"/>
      <c r="Y193" s="450"/>
      <c r="Z193" s="449">
        <v>43947.850393700799</v>
      </c>
      <c r="AA193" s="449"/>
      <c r="AB193" s="449"/>
      <c r="AC193" s="464">
        <v>70945.933649289102</v>
      </c>
      <c r="AD193" s="450"/>
      <c r="AE193" s="450"/>
      <c r="AF193" s="449"/>
      <c r="AG193" s="450"/>
    </row>
    <row r="194" spans="1:33">
      <c r="A194" s="94" t="s">
        <v>216</v>
      </c>
      <c r="B194" s="95" t="s">
        <v>227</v>
      </c>
      <c r="C194" s="96"/>
      <c r="D194" s="97">
        <v>159966</v>
      </c>
      <c r="E194" s="97">
        <v>4</v>
      </c>
      <c r="F194" s="447">
        <f t="shared" si="12"/>
        <v>155423.99999999991</v>
      </c>
      <c r="G194" s="448">
        <f t="shared" si="13"/>
        <v>158842.00000000029</v>
      </c>
      <c r="H194" s="449">
        <v>105613.133786848</v>
      </c>
      <c r="I194" s="464">
        <v>108835.103346819</v>
      </c>
      <c r="J194" s="449"/>
      <c r="K194" s="450"/>
      <c r="L194" s="449">
        <v>49810.866213151901</v>
      </c>
      <c r="M194" s="449"/>
      <c r="N194" s="449"/>
      <c r="O194" s="464">
        <v>50006.896653181298</v>
      </c>
      <c r="P194" s="450"/>
      <c r="Q194" s="450"/>
      <c r="R194" s="449"/>
      <c r="S194" s="450"/>
      <c r="T194" s="447">
        <f t="shared" si="14"/>
        <v>10075</v>
      </c>
      <c r="U194" s="448">
        <f t="shared" si="15"/>
        <v>10308</v>
      </c>
      <c r="V194" s="449">
        <v>4520.8333333333303</v>
      </c>
      <c r="W194" s="464">
        <v>3759.38823529412</v>
      </c>
      <c r="X194" s="449"/>
      <c r="Y194" s="450"/>
      <c r="Z194" s="449">
        <v>5554.1666666666697</v>
      </c>
      <c r="AA194" s="449"/>
      <c r="AB194" s="449"/>
      <c r="AC194" s="464">
        <v>6548.61176470588</v>
      </c>
      <c r="AD194" s="450"/>
      <c r="AE194" s="450"/>
      <c r="AF194" s="449"/>
      <c r="AG194" s="450"/>
    </row>
    <row r="195" spans="1:33">
      <c r="A195" s="94" t="s">
        <v>216</v>
      </c>
      <c r="B195" s="95" t="s">
        <v>228</v>
      </c>
      <c r="C195" s="96"/>
      <c r="D195" s="97">
        <v>160038</v>
      </c>
      <c r="E195" s="97">
        <v>4</v>
      </c>
      <c r="F195" s="447">
        <f t="shared" si="12"/>
        <v>239272</v>
      </c>
      <c r="G195" s="448">
        <f t="shared" si="13"/>
        <v>240675.99999999988</v>
      </c>
      <c r="H195" s="449">
        <v>158505.96075010899</v>
      </c>
      <c r="I195" s="464">
        <v>159196.63019333599</v>
      </c>
      <c r="J195" s="449"/>
      <c r="K195" s="450"/>
      <c r="L195" s="449">
        <v>80766.039249890993</v>
      </c>
      <c r="M195" s="449"/>
      <c r="N195" s="449"/>
      <c r="O195" s="464">
        <v>81479.369806663904</v>
      </c>
      <c r="P195" s="450"/>
      <c r="Q195" s="450"/>
      <c r="R195" s="449"/>
      <c r="S195" s="450"/>
      <c r="T195" s="447">
        <f t="shared" si="14"/>
        <v>15274.999999999989</v>
      </c>
      <c r="U195" s="448">
        <f t="shared" si="15"/>
        <v>14528.999999999991</v>
      </c>
      <c r="V195" s="449">
        <v>4324.3309859154897</v>
      </c>
      <c r="W195" s="464">
        <v>3384.5965909090901</v>
      </c>
      <c r="X195" s="449"/>
      <c r="Y195" s="450"/>
      <c r="Z195" s="449">
        <v>10950.6690140845</v>
      </c>
      <c r="AA195" s="449"/>
      <c r="AB195" s="449"/>
      <c r="AC195" s="464">
        <v>11144.403409090901</v>
      </c>
      <c r="AD195" s="450"/>
      <c r="AE195" s="450"/>
      <c r="AF195" s="449"/>
      <c r="AG195" s="450"/>
    </row>
    <row r="196" spans="1:33">
      <c r="A196" s="98" t="s">
        <v>216</v>
      </c>
      <c r="B196" s="95" t="s">
        <v>229</v>
      </c>
      <c r="C196" s="99"/>
      <c r="D196" s="97">
        <v>160630</v>
      </c>
      <c r="E196" s="97">
        <v>5</v>
      </c>
      <c r="F196" s="447">
        <f t="shared" si="12"/>
        <v>48565.000000000015</v>
      </c>
      <c r="G196" s="448">
        <f t="shared" si="13"/>
        <v>46277</v>
      </c>
      <c r="H196" s="449">
        <v>41698.227459016402</v>
      </c>
      <c r="I196" s="464">
        <v>32266.1875</v>
      </c>
      <c r="J196" s="449"/>
      <c r="K196" s="450"/>
      <c r="L196" s="449">
        <v>6866.7725409836103</v>
      </c>
      <c r="M196" s="449"/>
      <c r="N196" s="449"/>
      <c r="O196" s="464">
        <v>14010.8125</v>
      </c>
      <c r="P196" s="450"/>
      <c r="Q196" s="450"/>
      <c r="R196" s="449"/>
      <c r="S196" s="450"/>
      <c r="T196" s="447">
        <f t="shared" si="14"/>
        <v>9486</v>
      </c>
      <c r="U196" s="448">
        <f t="shared" si="15"/>
        <v>8874</v>
      </c>
      <c r="V196" s="449">
        <v>8218.4741379310308</v>
      </c>
      <c r="W196" s="464">
        <v>6487.2</v>
      </c>
      <c r="X196" s="449"/>
      <c r="Y196" s="450"/>
      <c r="Z196" s="449">
        <v>1267.5258620689699</v>
      </c>
      <c r="AA196" s="449"/>
      <c r="AB196" s="449"/>
      <c r="AC196" s="464">
        <v>2386.8000000000002</v>
      </c>
      <c r="AD196" s="450"/>
      <c r="AE196" s="450"/>
      <c r="AF196" s="449"/>
      <c r="AG196" s="450"/>
    </row>
    <row r="197" spans="1:33">
      <c r="A197" s="94" t="s">
        <v>216</v>
      </c>
      <c r="B197" s="95" t="s">
        <v>230</v>
      </c>
      <c r="C197" s="99"/>
      <c r="D197" s="97">
        <v>159382</v>
      </c>
      <c r="E197" s="102">
        <v>6</v>
      </c>
      <c r="F197" s="447">
        <f t="shared" si="12"/>
        <v>74440</v>
      </c>
      <c r="G197" s="448">
        <f t="shared" si="13"/>
        <v>75010</v>
      </c>
      <c r="H197" s="449">
        <v>46504.698181818203</v>
      </c>
      <c r="I197" s="464">
        <v>43707.033356990803</v>
      </c>
      <c r="J197" s="449"/>
      <c r="K197" s="450"/>
      <c r="L197" s="449">
        <v>27935.301818181801</v>
      </c>
      <c r="M197" s="449"/>
      <c r="N197" s="449"/>
      <c r="O197" s="464">
        <v>31302.9666430092</v>
      </c>
      <c r="P197" s="450"/>
      <c r="Q197" s="450"/>
      <c r="R197" s="449"/>
      <c r="S197" s="450"/>
      <c r="T197" s="447">
        <f t="shared" si="14"/>
        <v>0</v>
      </c>
      <c r="U197" s="448">
        <f t="shared" si="15"/>
        <v>0</v>
      </c>
      <c r="V197" s="449"/>
      <c r="W197" s="450"/>
      <c r="X197" s="449"/>
      <c r="Y197" s="450"/>
      <c r="Z197" s="449"/>
      <c r="AA197" s="449"/>
      <c r="AB197" s="449"/>
      <c r="AC197" s="450"/>
      <c r="AD197" s="450"/>
      <c r="AE197" s="450"/>
      <c r="AF197" s="449"/>
      <c r="AG197" s="450"/>
    </row>
    <row r="198" spans="1:33">
      <c r="A198" s="94" t="s">
        <v>216</v>
      </c>
      <c r="B198" s="100" t="s">
        <v>231</v>
      </c>
      <c r="C198" s="101"/>
      <c r="D198" s="97">
        <v>437103</v>
      </c>
      <c r="E198" s="102">
        <v>8</v>
      </c>
      <c r="F198" s="447">
        <f t="shared" si="12"/>
        <v>167576.99999999988</v>
      </c>
      <c r="G198" s="448">
        <f t="shared" si="13"/>
        <v>166797</v>
      </c>
      <c r="H198" s="449">
        <v>138734.77124182999</v>
      </c>
      <c r="I198" s="464">
        <v>129903.99472402599</v>
      </c>
      <c r="J198" s="449"/>
      <c r="K198" s="450"/>
      <c r="L198" s="449">
        <v>28842.228758169898</v>
      </c>
      <c r="M198" s="449"/>
      <c r="N198" s="449"/>
      <c r="O198" s="464">
        <v>36893.005275973999</v>
      </c>
      <c r="P198" s="450"/>
      <c r="Q198" s="450"/>
      <c r="R198" s="449"/>
      <c r="S198" s="450"/>
      <c r="T198" s="447">
        <f t="shared" si="14"/>
        <v>0</v>
      </c>
      <c r="U198" s="448">
        <f t="shared" si="15"/>
        <v>0</v>
      </c>
      <c r="V198" s="449"/>
      <c r="W198" s="450"/>
      <c r="X198" s="449"/>
      <c r="Y198" s="450"/>
      <c r="Z198" s="449"/>
      <c r="AA198" s="449"/>
      <c r="AB198" s="449"/>
      <c r="AC198" s="450"/>
      <c r="AD198" s="450"/>
      <c r="AE198" s="450"/>
      <c r="AF198" s="449"/>
      <c r="AG198" s="450"/>
    </row>
    <row r="199" spans="1:33">
      <c r="A199" s="94" t="s">
        <v>216</v>
      </c>
      <c r="B199" s="95" t="s">
        <v>232</v>
      </c>
      <c r="C199" s="99" t="s">
        <v>801</v>
      </c>
      <c r="D199" s="97">
        <v>158431</v>
      </c>
      <c r="E199" s="130">
        <v>9</v>
      </c>
      <c r="F199" s="447">
        <f t="shared" si="12"/>
        <v>140946</v>
      </c>
      <c r="G199" s="448">
        <f t="shared" si="13"/>
        <v>134390</v>
      </c>
      <c r="H199" s="449">
        <v>93499.980246913605</v>
      </c>
      <c r="I199" s="464">
        <v>87769.752212389401</v>
      </c>
      <c r="J199" s="449"/>
      <c r="K199" s="450"/>
      <c r="L199" s="449">
        <v>47446.019753086402</v>
      </c>
      <c r="M199" s="449"/>
      <c r="N199" s="449"/>
      <c r="O199" s="464">
        <v>46620.247787610599</v>
      </c>
      <c r="P199" s="450"/>
      <c r="Q199" s="450"/>
      <c r="R199" s="449"/>
      <c r="S199" s="450"/>
      <c r="T199" s="447">
        <f t="shared" si="14"/>
        <v>0</v>
      </c>
      <c r="U199" s="448">
        <f t="shared" si="15"/>
        <v>0</v>
      </c>
      <c r="V199" s="449"/>
      <c r="W199" s="450"/>
      <c r="X199" s="449"/>
      <c r="Y199" s="450"/>
      <c r="Z199" s="449"/>
      <c r="AA199" s="449"/>
      <c r="AB199" s="449"/>
      <c r="AC199" s="450"/>
      <c r="AD199" s="450"/>
      <c r="AE199" s="450"/>
      <c r="AF199" s="449"/>
      <c r="AG199" s="450"/>
    </row>
    <row r="200" spans="1:33">
      <c r="A200" s="94" t="s">
        <v>216</v>
      </c>
      <c r="B200" s="100" t="s">
        <v>233</v>
      </c>
      <c r="C200" s="101"/>
      <c r="D200" s="97">
        <v>158662</v>
      </c>
      <c r="E200" s="102">
        <v>8</v>
      </c>
      <c r="F200" s="447">
        <f t="shared" si="12"/>
        <v>275947.99999999988</v>
      </c>
      <c r="G200" s="448">
        <f t="shared" si="13"/>
        <v>273512.99999999988</v>
      </c>
      <c r="H200" s="449">
        <v>224389.805770584</v>
      </c>
      <c r="I200" s="464">
        <v>217655.065013774</v>
      </c>
      <c r="J200" s="449"/>
      <c r="K200" s="450"/>
      <c r="L200" s="449">
        <v>51558.194229415902</v>
      </c>
      <c r="M200" s="449"/>
      <c r="N200" s="449"/>
      <c r="O200" s="464">
        <v>55857.934986225897</v>
      </c>
      <c r="P200" s="450"/>
      <c r="Q200" s="450"/>
      <c r="R200" s="449"/>
      <c r="S200" s="450"/>
      <c r="T200" s="447">
        <f t="shared" si="14"/>
        <v>0</v>
      </c>
      <c r="U200" s="448">
        <f t="shared" si="15"/>
        <v>0</v>
      </c>
      <c r="V200" s="449"/>
      <c r="W200" s="450"/>
      <c r="X200" s="449"/>
      <c r="Y200" s="450"/>
      <c r="Z200" s="449"/>
      <c r="AA200" s="449"/>
      <c r="AB200" s="449"/>
      <c r="AC200" s="450"/>
      <c r="AD200" s="450"/>
      <c r="AE200" s="450"/>
      <c r="AF200" s="449"/>
      <c r="AG200" s="450"/>
    </row>
    <row r="201" spans="1:33">
      <c r="A201" s="94" t="s">
        <v>216</v>
      </c>
      <c r="B201" s="95" t="s">
        <v>234</v>
      </c>
      <c r="C201" s="99"/>
      <c r="D201" s="97">
        <v>483212</v>
      </c>
      <c r="E201" s="102">
        <v>9</v>
      </c>
      <c r="F201" s="447">
        <f t="shared" si="12"/>
        <v>80300</v>
      </c>
      <c r="G201" s="448">
        <f t="shared" si="13"/>
        <v>92065.5</v>
      </c>
      <c r="H201" s="449">
        <v>57146.389385047201</v>
      </c>
      <c r="I201" s="464">
        <v>59104.843017806903</v>
      </c>
      <c r="J201" s="449"/>
      <c r="K201" s="450"/>
      <c r="L201" s="449">
        <v>23153.610614952799</v>
      </c>
      <c r="M201" s="449"/>
      <c r="N201" s="449"/>
      <c r="O201" s="464">
        <v>32960.656982193097</v>
      </c>
      <c r="P201" s="450"/>
      <c r="Q201" s="450"/>
      <c r="R201" s="449"/>
      <c r="S201" s="450"/>
      <c r="T201" s="447">
        <f t="shared" si="14"/>
        <v>0</v>
      </c>
      <c r="U201" s="448">
        <f t="shared" si="15"/>
        <v>0</v>
      </c>
      <c r="V201" s="449"/>
      <c r="W201" s="450"/>
      <c r="X201" s="449"/>
      <c r="Y201" s="450"/>
      <c r="Z201" s="449"/>
      <c r="AA201" s="449"/>
      <c r="AB201" s="449"/>
      <c r="AC201" s="450"/>
      <c r="AD201" s="450"/>
      <c r="AE201" s="450"/>
      <c r="AF201" s="449"/>
      <c r="AG201" s="450"/>
    </row>
    <row r="202" spans="1:33">
      <c r="A202" s="94" t="s">
        <v>216</v>
      </c>
      <c r="B202" s="95" t="s">
        <v>235</v>
      </c>
      <c r="C202" s="101"/>
      <c r="D202" s="97">
        <v>434061</v>
      </c>
      <c r="E202" s="102">
        <v>9</v>
      </c>
      <c r="F202" s="447">
        <f t="shared" si="12"/>
        <v>138411.00000000041</v>
      </c>
      <c r="G202" s="448">
        <f t="shared" si="13"/>
        <v>142944</v>
      </c>
      <c r="H202" s="449">
        <v>118152.085066163</v>
      </c>
      <c r="I202" s="464">
        <v>112052.87615610199</v>
      </c>
      <c r="J202" s="449"/>
      <c r="K202" s="450"/>
      <c r="L202" s="449">
        <v>20258.914933837401</v>
      </c>
      <c r="M202" s="449"/>
      <c r="N202" s="449"/>
      <c r="O202" s="464">
        <v>30891.123843898</v>
      </c>
      <c r="P202" s="450"/>
      <c r="Q202" s="450"/>
      <c r="R202" s="449"/>
      <c r="S202" s="450"/>
      <c r="T202" s="447">
        <f t="shared" si="14"/>
        <v>0</v>
      </c>
      <c r="U202" s="448">
        <f t="shared" si="15"/>
        <v>0</v>
      </c>
      <c r="V202" s="449"/>
      <c r="W202" s="450"/>
      <c r="X202" s="449"/>
      <c r="Y202" s="450"/>
      <c r="Z202" s="449"/>
      <c r="AA202" s="449"/>
      <c r="AB202" s="449"/>
      <c r="AC202" s="450"/>
      <c r="AD202" s="450"/>
      <c r="AE202" s="450"/>
      <c r="AF202" s="449"/>
      <c r="AG202" s="450"/>
    </row>
    <row r="203" spans="1:33">
      <c r="A203" s="94" t="s">
        <v>216</v>
      </c>
      <c r="B203" s="95" t="s">
        <v>236</v>
      </c>
      <c r="C203" s="99"/>
      <c r="D203" s="97">
        <v>160649</v>
      </c>
      <c r="E203" s="102">
        <v>9</v>
      </c>
      <c r="F203" s="447">
        <f t="shared" si="12"/>
        <v>60297</v>
      </c>
      <c r="G203" s="448">
        <f t="shared" si="13"/>
        <v>65648</v>
      </c>
      <c r="H203" s="449">
        <v>48237.599999999999</v>
      </c>
      <c r="I203" s="464">
        <v>51059.555555555598</v>
      </c>
      <c r="J203" s="449"/>
      <c r="K203" s="450"/>
      <c r="L203" s="449">
        <v>12059.4</v>
      </c>
      <c r="M203" s="449"/>
      <c r="N203" s="449"/>
      <c r="O203" s="464">
        <v>14588.4444444444</v>
      </c>
      <c r="P203" s="450"/>
      <c r="Q203" s="450"/>
      <c r="R203" s="449"/>
      <c r="S203" s="450"/>
      <c r="T203" s="447">
        <f t="shared" si="14"/>
        <v>0</v>
      </c>
      <c r="U203" s="448">
        <f t="shared" si="15"/>
        <v>0</v>
      </c>
      <c r="V203" s="449"/>
      <c r="W203" s="450"/>
      <c r="X203" s="449"/>
      <c r="Y203" s="450"/>
      <c r="Z203" s="449"/>
      <c r="AA203" s="449"/>
      <c r="AB203" s="449"/>
      <c r="AC203" s="450"/>
      <c r="AD203" s="450"/>
      <c r="AE203" s="450"/>
      <c r="AF203" s="449"/>
      <c r="AG203" s="450"/>
    </row>
    <row r="204" spans="1:33">
      <c r="A204" s="94" t="s">
        <v>216</v>
      </c>
      <c r="B204" s="95" t="s">
        <v>237</v>
      </c>
      <c r="C204" s="96" t="s">
        <v>787</v>
      </c>
      <c r="D204" s="97">
        <v>159407</v>
      </c>
      <c r="E204" s="102">
        <v>10</v>
      </c>
      <c r="F204" s="447">
        <f t="shared" si="12"/>
        <v>63178</v>
      </c>
      <c r="G204" s="448">
        <f t="shared" si="13"/>
        <v>61881</v>
      </c>
      <c r="H204" s="449">
        <v>42639.144486691999</v>
      </c>
      <c r="I204" s="464">
        <v>41133.020527859197</v>
      </c>
      <c r="J204" s="449"/>
      <c r="K204" s="450"/>
      <c r="L204" s="449">
        <v>20538.855513308001</v>
      </c>
      <c r="M204" s="449"/>
      <c r="N204" s="449"/>
      <c r="O204" s="464">
        <v>20747.9794721408</v>
      </c>
      <c r="P204" s="450"/>
      <c r="Q204" s="450"/>
      <c r="R204" s="449"/>
      <c r="S204" s="450"/>
      <c r="T204" s="447">
        <f t="shared" si="14"/>
        <v>0</v>
      </c>
      <c r="U204" s="448">
        <f t="shared" si="15"/>
        <v>0</v>
      </c>
      <c r="V204" s="449"/>
      <c r="W204" s="450"/>
      <c r="X204" s="449"/>
      <c r="Y204" s="450"/>
      <c r="Z204" s="449"/>
      <c r="AA204" s="449"/>
      <c r="AB204" s="449"/>
      <c r="AC204" s="450"/>
      <c r="AD204" s="450"/>
      <c r="AE204" s="450"/>
      <c r="AF204" s="449"/>
      <c r="AG204" s="450"/>
    </row>
    <row r="205" spans="1:33">
      <c r="A205" s="94" t="s">
        <v>216</v>
      </c>
      <c r="B205" s="95" t="s">
        <v>238</v>
      </c>
      <c r="C205" s="96"/>
      <c r="D205" s="97">
        <v>158884</v>
      </c>
      <c r="E205" s="102">
        <v>10</v>
      </c>
      <c r="F205" s="447">
        <f t="shared" si="12"/>
        <v>45520</v>
      </c>
      <c r="G205" s="448">
        <f t="shared" si="13"/>
        <v>43840</v>
      </c>
      <c r="H205" s="449">
        <v>29164.712755598801</v>
      </c>
      <c r="I205" s="464">
        <v>26879.676767676799</v>
      </c>
      <c r="J205" s="449"/>
      <c r="K205" s="450"/>
      <c r="L205" s="449">
        <v>16355.287244401199</v>
      </c>
      <c r="M205" s="449"/>
      <c r="N205" s="449"/>
      <c r="O205" s="464">
        <v>16960.323232323201</v>
      </c>
      <c r="P205" s="450"/>
      <c r="Q205" s="450"/>
      <c r="R205" s="449"/>
      <c r="S205" s="450"/>
      <c r="T205" s="447">
        <f t="shared" si="14"/>
        <v>0</v>
      </c>
      <c r="U205" s="448">
        <f t="shared" si="15"/>
        <v>0</v>
      </c>
      <c r="V205" s="449"/>
      <c r="W205" s="450"/>
      <c r="X205" s="449"/>
      <c r="Y205" s="450"/>
      <c r="Z205" s="449"/>
      <c r="AA205" s="449"/>
      <c r="AB205" s="449"/>
      <c r="AC205" s="450"/>
      <c r="AD205" s="450"/>
      <c r="AE205" s="450"/>
      <c r="AF205" s="449"/>
      <c r="AG205" s="450"/>
    </row>
    <row r="206" spans="1:33">
      <c r="A206" s="98" t="s">
        <v>216</v>
      </c>
      <c r="B206" s="100" t="s">
        <v>239</v>
      </c>
      <c r="C206" s="96" t="s">
        <v>787</v>
      </c>
      <c r="D206" s="97">
        <v>436304</v>
      </c>
      <c r="E206" s="102">
        <v>10</v>
      </c>
      <c r="F206" s="447">
        <f t="shared" si="12"/>
        <v>65304.000000000036</v>
      </c>
      <c r="G206" s="448">
        <f t="shared" si="13"/>
        <v>61520</v>
      </c>
      <c r="H206" s="449">
        <v>55942.576371725198</v>
      </c>
      <c r="I206" s="464">
        <v>51212.060630888998</v>
      </c>
      <c r="J206" s="449"/>
      <c r="K206" s="450"/>
      <c r="L206" s="449">
        <v>9361.4236282748407</v>
      </c>
      <c r="M206" s="449"/>
      <c r="N206" s="449"/>
      <c r="O206" s="464">
        <v>10307.939369111</v>
      </c>
      <c r="P206" s="450"/>
      <c r="Q206" s="450"/>
      <c r="R206" s="449"/>
      <c r="S206" s="450"/>
      <c r="T206" s="447">
        <f t="shared" si="14"/>
        <v>0</v>
      </c>
      <c r="U206" s="448">
        <f t="shared" si="15"/>
        <v>0</v>
      </c>
      <c r="V206" s="449"/>
      <c r="W206" s="450"/>
      <c r="X206" s="449"/>
      <c r="Y206" s="450"/>
      <c r="Z206" s="449"/>
      <c r="AA206" s="449"/>
      <c r="AB206" s="449"/>
      <c r="AC206" s="450"/>
      <c r="AD206" s="450"/>
      <c r="AE206" s="450"/>
      <c r="AF206" s="449"/>
      <c r="AG206" s="450"/>
    </row>
    <row r="207" spans="1:33">
      <c r="A207" s="98" t="s">
        <v>216</v>
      </c>
      <c r="B207" s="103" t="s">
        <v>763</v>
      </c>
      <c r="C207" s="104"/>
      <c r="D207" s="97">
        <v>158088</v>
      </c>
      <c r="E207" s="102">
        <v>12</v>
      </c>
      <c r="F207" s="447">
        <f t="shared" si="12"/>
        <v>43623.999999999978</v>
      </c>
      <c r="G207" s="448">
        <f t="shared" si="13"/>
        <v>45534.000000000044</v>
      </c>
      <c r="H207" s="449">
        <v>35297.963605586097</v>
      </c>
      <c r="I207" s="464">
        <v>39137.602334306001</v>
      </c>
      <c r="J207" s="449"/>
      <c r="K207" s="450"/>
      <c r="L207" s="449">
        <v>8326.0363944138808</v>
      </c>
      <c r="M207" s="449"/>
      <c r="N207" s="449"/>
      <c r="O207" s="464">
        <v>6396.3976656940404</v>
      </c>
      <c r="P207" s="450"/>
      <c r="Q207" s="450"/>
      <c r="R207" s="449"/>
      <c r="S207" s="450"/>
      <c r="T207" s="447">
        <f t="shared" si="14"/>
        <v>0</v>
      </c>
      <c r="U207" s="448">
        <f t="shared" si="15"/>
        <v>0</v>
      </c>
      <c r="V207" s="449"/>
      <c r="W207" s="450"/>
      <c r="X207" s="449"/>
      <c r="Y207" s="450"/>
      <c r="Z207" s="449"/>
      <c r="AA207" s="449"/>
      <c r="AB207" s="449"/>
      <c r="AC207" s="450"/>
      <c r="AD207" s="450"/>
      <c r="AE207" s="450"/>
      <c r="AF207" s="449"/>
      <c r="AG207" s="450"/>
    </row>
    <row r="208" spans="1:33">
      <c r="A208" s="98" t="s">
        <v>216</v>
      </c>
      <c r="B208" s="95" t="s">
        <v>240</v>
      </c>
      <c r="C208" s="99"/>
      <c r="D208" s="97">
        <v>160481</v>
      </c>
      <c r="E208" s="102">
        <v>12</v>
      </c>
      <c r="F208" s="447">
        <f t="shared" si="12"/>
        <v>44475</v>
      </c>
      <c r="G208" s="448">
        <f t="shared" si="13"/>
        <v>48244</v>
      </c>
      <c r="H208" s="449">
        <v>32029.9775784753</v>
      </c>
      <c r="I208" s="464">
        <v>31503.913253012</v>
      </c>
      <c r="J208" s="449"/>
      <c r="K208" s="450"/>
      <c r="L208" s="449">
        <v>12445.0224215247</v>
      </c>
      <c r="M208" s="449"/>
      <c r="N208" s="449"/>
      <c r="O208" s="464">
        <v>16740.086746988</v>
      </c>
      <c r="P208" s="450"/>
      <c r="Q208" s="450"/>
      <c r="R208" s="449"/>
      <c r="S208" s="450"/>
      <c r="T208" s="447">
        <f t="shared" si="14"/>
        <v>0</v>
      </c>
      <c r="U208" s="448">
        <f t="shared" si="15"/>
        <v>0</v>
      </c>
      <c r="V208" s="449"/>
      <c r="W208" s="450"/>
      <c r="X208" s="449"/>
      <c r="Y208" s="450"/>
      <c r="Z208" s="449"/>
      <c r="AA208" s="449"/>
      <c r="AB208" s="449"/>
      <c r="AC208" s="450"/>
      <c r="AD208" s="450"/>
      <c r="AE208" s="450"/>
      <c r="AF208" s="449"/>
      <c r="AG208" s="450"/>
    </row>
    <row r="209" spans="1:33">
      <c r="A209" s="98" t="s">
        <v>216</v>
      </c>
      <c r="B209" s="103" t="s">
        <v>241</v>
      </c>
      <c r="C209" s="104"/>
      <c r="D209" s="97">
        <v>160667</v>
      </c>
      <c r="E209" s="102">
        <v>12</v>
      </c>
      <c r="F209" s="447">
        <f t="shared" si="12"/>
        <v>68376</v>
      </c>
      <c r="G209" s="448">
        <f t="shared" si="13"/>
        <v>68473</v>
      </c>
      <c r="H209" s="449">
        <v>54423.154852030297</v>
      </c>
      <c r="I209" s="464">
        <v>52778.767286767303</v>
      </c>
      <c r="J209" s="449"/>
      <c r="K209" s="450"/>
      <c r="L209" s="449">
        <v>13952.8451479697</v>
      </c>
      <c r="M209" s="449"/>
      <c r="N209" s="449"/>
      <c r="O209" s="464">
        <v>15694.232713232699</v>
      </c>
      <c r="P209" s="450"/>
      <c r="Q209" s="450"/>
      <c r="R209" s="449"/>
      <c r="S209" s="450"/>
      <c r="T209" s="447">
        <f t="shared" si="14"/>
        <v>0</v>
      </c>
      <c r="U209" s="448">
        <f t="shared" si="15"/>
        <v>0</v>
      </c>
      <c r="V209" s="449"/>
      <c r="W209" s="450"/>
      <c r="X209" s="449"/>
      <c r="Y209" s="450"/>
      <c r="Z209" s="449"/>
      <c r="AA209" s="449"/>
      <c r="AB209" s="449"/>
      <c r="AC209" s="450"/>
      <c r="AD209" s="450"/>
      <c r="AE209" s="450"/>
      <c r="AF209" s="449"/>
      <c r="AG209" s="450"/>
    </row>
    <row r="210" spans="1:33">
      <c r="A210" s="98" t="s">
        <v>216</v>
      </c>
      <c r="B210" s="103" t="s">
        <v>242</v>
      </c>
      <c r="C210" s="99" t="s">
        <v>802</v>
      </c>
      <c r="D210" s="97">
        <v>160010</v>
      </c>
      <c r="E210" s="130">
        <v>13</v>
      </c>
      <c r="F210" s="447">
        <f t="shared" ref="F210:F273" si="16">SUM(H210,J210,L210,M210,N210,R210)</f>
        <v>23316.999999999996</v>
      </c>
      <c r="G210" s="448">
        <f t="shared" ref="G210:G273" si="17">SUM(I210,K210,O210,P210,Q210,S210)</f>
        <v>24617.999999999996</v>
      </c>
      <c r="H210" s="449">
        <v>23294.449709864599</v>
      </c>
      <c r="I210" s="464">
        <v>24468.497975708498</v>
      </c>
      <c r="J210" s="449"/>
      <c r="K210" s="450"/>
      <c r="L210" s="449">
        <v>22.550290135396502</v>
      </c>
      <c r="M210" s="449"/>
      <c r="N210" s="449"/>
      <c r="O210" s="464">
        <v>149.502024291498</v>
      </c>
      <c r="P210" s="450"/>
      <c r="Q210" s="450"/>
      <c r="R210" s="449"/>
      <c r="S210" s="450"/>
      <c r="T210" s="447">
        <f t="shared" ref="T210:T273" si="18">SUM(V210,X210,Z210,AA210,AB210,AF210)</f>
        <v>0</v>
      </c>
      <c r="U210" s="448">
        <f t="shared" ref="U210:U273" si="19">SUM(W210,Y210,AC210,AD210,AE210,AG210)</f>
        <v>0</v>
      </c>
      <c r="V210" s="449"/>
      <c r="W210" s="450"/>
      <c r="X210" s="449"/>
      <c r="Y210" s="450"/>
      <c r="Z210" s="449"/>
      <c r="AA210" s="449"/>
      <c r="AB210" s="449"/>
      <c r="AC210" s="450"/>
      <c r="AD210" s="450"/>
      <c r="AE210" s="450"/>
      <c r="AF210" s="449"/>
      <c r="AG210" s="450"/>
    </row>
    <row r="211" spans="1:33">
      <c r="A211" s="98" t="s">
        <v>216</v>
      </c>
      <c r="B211" s="103" t="s">
        <v>243</v>
      </c>
      <c r="C211" s="104" t="s">
        <v>803</v>
      </c>
      <c r="D211" s="97">
        <v>160913</v>
      </c>
      <c r="E211" s="102">
        <v>12</v>
      </c>
      <c r="F211" s="447">
        <f t="shared" si="16"/>
        <v>0</v>
      </c>
      <c r="G211" s="448">
        <f t="shared" si="17"/>
        <v>0</v>
      </c>
      <c r="H211" s="449"/>
      <c r="I211" s="464"/>
      <c r="J211" s="449"/>
      <c r="K211" s="450"/>
      <c r="L211" s="449"/>
      <c r="M211" s="449"/>
      <c r="N211" s="449"/>
      <c r="O211" s="450"/>
      <c r="P211" s="450"/>
      <c r="Q211" s="450"/>
      <c r="R211" s="449"/>
      <c r="S211" s="450"/>
      <c r="T211" s="447">
        <f t="shared" si="18"/>
        <v>0</v>
      </c>
      <c r="U211" s="448">
        <f t="shared" si="19"/>
        <v>0</v>
      </c>
      <c r="V211" s="449"/>
      <c r="W211" s="450"/>
      <c r="X211" s="449"/>
      <c r="Y211" s="450"/>
      <c r="Z211" s="449"/>
      <c r="AA211" s="449"/>
      <c r="AB211" s="449"/>
      <c r="AC211" s="450"/>
      <c r="AD211" s="450"/>
      <c r="AE211" s="450"/>
      <c r="AF211" s="449"/>
      <c r="AG211" s="450"/>
    </row>
    <row r="212" spans="1:33">
      <c r="A212" s="98" t="s">
        <v>216</v>
      </c>
      <c r="B212" s="95" t="s">
        <v>244</v>
      </c>
      <c r="C212" s="96"/>
      <c r="D212" s="97">
        <v>160579</v>
      </c>
      <c r="E212" s="102">
        <v>12</v>
      </c>
      <c r="F212" s="447">
        <f t="shared" si="16"/>
        <v>70688</v>
      </c>
      <c r="G212" s="448">
        <f t="shared" si="17"/>
        <v>74465.5</v>
      </c>
      <c r="H212" s="449">
        <v>58366.657198192399</v>
      </c>
      <c r="I212" s="464">
        <v>61115.456926658902</v>
      </c>
      <c r="J212" s="449"/>
      <c r="K212" s="450"/>
      <c r="L212" s="449">
        <v>12321.342801807599</v>
      </c>
      <c r="M212" s="449"/>
      <c r="N212" s="449"/>
      <c r="O212" s="464">
        <v>13350.043073341099</v>
      </c>
      <c r="P212" s="450"/>
      <c r="Q212" s="450"/>
      <c r="R212" s="449"/>
      <c r="S212" s="450"/>
      <c r="T212" s="447">
        <f t="shared" si="18"/>
        <v>0</v>
      </c>
      <c r="U212" s="448">
        <f t="shared" si="19"/>
        <v>0</v>
      </c>
      <c r="V212" s="449"/>
      <c r="W212" s="450"/>
      <c r="X212" s="449"/>
      <c r="Y212" s="450"/>
      <c r="Z212" s="449"/>
      <c r="AA212" s="449"/>
      <c r="AB212" s="449"/>
      <c r="AC212" s="450"/>
      <c r="AD212" s="450"/>
      <c r="AE212" s="450"/>
      <c r="AF212" s="449"/>
      <c r="AG212" s="450"/>
    </row>
    <row r="213" spans="1:33">
      <c r="A213" s="98" t="s">
        <v>216</v>
      </c>
      <c r="B213" s="95" t="s">
        <v>245</v>
      </c>
      <c r="C213" s="96"/>
      <c r="D213" s="97">
        <v>159373</v>
      </c>
      <c r="E213" s="102">
        <v>15</v>
      </c>
      <c r="F213" s="447">
        <f t="shared" si="16"/>
        <v>0</v>
      </c>
      <c r="G213" s="448">
        <f t="shared" si="17"/>
        <v>0</v>
      </c>
      <c r="H213" s="449"/>
      <c r="I213" s="450"/>
      <c r="J213" s="449"/>
      <c r="K213" s="450"/>
      <c r="L213" s="449"/>
      <c r="M213" s="449"/>
      <c r="N213" s="449"/>
      <c r="O213" s="450"/>
      <c r="P213" s="450"/>
      <c r="Q213" s="450"/>
      <c r="R213" s="449"/>
      <c r="S213" s="450"/>
      <c r="T213" s="447">
        <f t="shared" si="18"/>
        <v>0</v>
      </c>
      <c r="U213" s="448">
        <f t="shared" si="19"/>
        <v>0</v>
      </c>
      <c r="V213" s="449"/>
      <c r="W213" s="450"/>
      <c r="X213" s="449"/>
      <c r="Y213" s="450"/>
      <c r="Z213" s="449"/>
      <c r="AA213" s="449"/>
      <c r="AB213" s="449"/>
      <c r="AC213" s="450"/>
      <c r="AD213" s="450"/>
      <c r="AE213" s="450"/>
      <c r="AF213" s="449"/>
      <c r="AG213" s="450"/>
    </row>
    <row r="214" spans="1:33">
      <c r="A214" s="98" t="s">
        <v>216</v>
      </c>
      <c r="B214" s="95" t="s">
        <v>246</v>
      </c>
      <c r="C214" s="96"/>
      <c r="D214" s="97">
        <v>435000</v>
      </c>
      <c r="E214" s="102">
        <v>15</v>
      </c>
      <c r="F214" s="447">
        <f t="shared" si="16"/>
        <v>0</v>
      </c>
      <c r="G214" s="448">
        <f t="shared" si="17"/>
        <v>0</v>
      </c>
      <c r="H214" s="449"/>
      <c r="I214" s="450"/>
      <c r="J214" s="449"/>
      <c r="K214" s="450"/>
      <c r="L214" s="449"/>
      <c r="M214" s="449"/>
      <c r="N214" s="449"/>
      <c r="O214" s="450"/>
      <c r="P214" s="450"/>
      <c r="Q214" s="450"/>
      <c r="R214" s="449"/>
      <c r="S214" s="450"/>
      <c r="T214" s="447">
        <f t="shared" si="18"/>
        <v>0</v>
      </c>
      <c r="U214" s="448">
        <f t="shared" si="19"/>
        <v>0</v>
      </c>
      <c r="V214" s="449"/>
      <c r="W214" s="450"/>
      <c r="X214" s="449"/>
      <c r="Y214" s="450"/>
      <c r="Z214" s="449"/>
      <c r="AA214" s="449"/>
      <c r="AB214" s="449"/>
      <c r="AC214" s="450"/>
      <c r="AD214" s="450"/>
      <c r="AE214" s="450"/>
      <c r="AF214" s="449"/>
      <c r="AG214" s="450"/>
    </row>
    <row r="215" spans="1:33">
      <c r="A215" s="98" t="s">
        <v>216</v>
      </c>
      <c r="B215" s="465" t="s">
        <v>804</v>
      </c>
      <c r="C215" s="96"/>
      <c r="D215" s="466">
        <v>440916</v>
      </c>
      <c r="E215" s="102">
        <v>15</v>
      </c>
      <c r="F215" s="447">
        <f t="shared" si="16"/>
        <v>0</v>
      </c>
      <c r="G215" s="448">
        <f t="shared" si="17"/>
        <v>0</v>
      </c>
      <c r="H215" s="449"/>
      <c r="I215" s="450"/>
      <c r="J215" s="449"/>
      <c r="K215" s="450"/>
      <c r="L215" s="449"/>
      <c r="M215" s="449"/>
      <c r="N215" s="449"/>
      <c r="O215" s="450"/>
      <c r="P215" s="450"/>
      <c r="Q215" s="450"/>
      <c r="R215" s="449"/>
      <c r="S215" s="450"/>
      <c r="T215" s="447">
        <f t="shared" si="18"/>
        <v>17064</v>
      </c>
      <c r="U215" s="448">
        <f t="shared" si="19"/>
        <v>17788</v>
      </c>
      <c r="V215" s="449">
        <v>16458</v>
      </c>
      <c r="W215" s="450">
        <v>16339</v>
      </c>
      <c r="X215" s="449"/>
      <c r="Y215" s="450"/>
      <c r="Z215" s="449"/>
      <c r="AA215" s="449"/>
      <c r="AB215" s="449">
        <v>606</v>
      </c>
      <c r="AC215" s="467">
        <v>1449</v>
      </c>
      <c r="AD215" s="450"/>
      <c r="AE215" s="468"/>
      <c r="AF215" s="449"/>
      <c r="AG215" s="450"/>
    </row>
    <row r="216" spans="1:33" s="27" customFormat="1" ht="13.5" customHeight="1">
      <c r="A216" s="3" t="s">
        <v>247</v>
      </c>
      <c r="B216" s="65" t="s">
        <v>265</v>
      </c>
      <c r="C216" s="64"/>
      <c r="D216" s="62">
        <v>161688</v>
      </c>
      <c r="E216" s="62">
        <v>10</v>
      </c>
      <c r="F216" s="447">
        <f t="shared" si="16"/>
        <v>49593</v>
      </c>
      <c r="G216" s="448">
        <f t="shared" si="17"/>
        <v>47735</v>
      </c>
      <c r="H216" s="449">
        <v>30819</v>
      </c>
      <c r="I216" s="450">
        <v>28330</v>
      </c>
      <c r="J216" s="449">
        <v>8712</v>
      </c>
      <c r="K216" s="450">
        <v>8752</v>
      </c>
      <c r="L216" s="449">
        <v>9166</v>
      </c>
      <c r="M216" s="449">
        <v>896</v>
      </c>
      <c r="N216" s="449"/>
      <c r="O216" s="450">
        <v>9725</v>
      </c>
      <c r="P216" s="450">
        <v>928</v>
      </c>
      <c r="Q216" s="450"/>
      <c r="R216" s="449"/>
      <c r="S216" s="450">
        <v>0</v>
      </c>
      <c r="T216" s="447">
        <f t="shared" si="18"/>
        <v>0</v>
      </c>
      <c r="U216" s="448">
        <f t="shared" si="19"/>
        <v>0</v>
      </c>
      <c r="V216" s="449">
        <v>0</v>
      </c>
      <c r="W216" s="450">
        <v>0</v>
      </c>
      <c r="X216" s="449">
        <v>0</v>
      </c>
      <c r="Y216" s="450">
        <v>0</v>
      </c>
      <c r="Z216" s="449">
        <v>0</v>
      </c>
      <c r="AA216" s="449">
        <v>0</v>
      </c>
      <c r="AB216" s="449">
        <v>0</v>
      </c>
      <c r="AC216" s="450">
        <v>0</v>
      </c>
      <c r="AD216" s="450">
        <v>0</v>
      </c>
      <c r="AE216" s="450">
        <v>0</v>
      </c>
      <c r="AF216" s="449"/>
      <c r="AG216" s="450"/>
    </row>
    <row r="217" spans="1:33" s="27" customFormat="1" ht="13.5" customHeight="1">
      <c r="A217" s="3" t="s">
        <v>247</v>
      </c>
      <c r="B217" s="65" t="s">
        <v>259</v>
      </c>
      <c r="C217" s="66"/>
      <c r="D217" s="62">
        <v>161767</v>
      </c>
      <c r="E217" s="62">
        <v>8</v>
      </c>
      <c r="F217" s="447">
        <f t="shared" si="16"/>
        <v>233503</v>
      </c>
      <c r="G217" s="448">
        <f t="shared" si="17"/>
        <v>227134</v>
      </c>
      <c r="H217" s="449">
        <v>151595</v>
      </c>
      <c r="I217" s="450">
        <v>141718</v>
      </c>
      <c r="J217" s="449">
        <v>4519</v>
      </c>
      <c r="K217" s="450">
        <v>5819</v>
      </c>
      <c r="L217" s="449">
        <v>77129</v>
      </c>
      <c r="M217" s="449">
        <v>260</v>
      </c>
      <c r="N217" s="449"/>
      <c r="O217" s="450">
        <v>79315</v>
      </c>
      <c r="P217" s="450">
        <v>282</v>
      </c>
      <c r="Q217" s="450"/>
      <c r="R217" s="449"/>
      <c r="S217" s="450">
        <v>0</v>
      </c>
      <c r="T217" s="447">
        <f t="shared" si="18"/>
        <v>0</v>
      </c>
      <c r="U217" s="448">
        <f t="shared" si="19"/>
        <v>0</v>
      </c>
      <c r="V217" s="449">
        <v>0</v>
      </c>
      <c r="W217" s="450">
        <v>0</v>
      </c>
      <c r="X217" s="449">
        <v>0</v>
      </c>
      <c r="Y217" s="450">
        <v>0</v>
      </c>
      <c r="Z217" s="449">
        <v>0</v>
      </c>
      <c r="AA217" s="449">
        <v>0</v>
      </c>
      <c r="AB217" s="449">
        <v>0</v>
      </c>
      <c r="AC217" s="450">
        <v>0</v>
      </c>
      <c r="AD217" s="450">
        <v>0</v>
      </c>
      <c r="AE217" s="450">
        <v>0</v>
      </c>
      <c r="AF217" s="449"/>
      <c r="AG217" s="450"/>
    </row>
    <row r="218" spans="1:33">
      <c r="A218" s="3" t="s">
        <v>247</v>
      </c>
      <c r="B218" s="2" t="s">
        <v>266</v>
      </c>
      <c r="C218" s="1"/>
      <c r="D218" s="62">
        <v>161864</v>
      </c>
      <c r="E218" s="62">
        <v>9</v>
      </c>
      <c r="F218" s="447">
        <f t="shared" si="16"/>
        <v>82991.399999999994</v>
      </c>
      <c r="G218" s="448">
        <f t="shared" si="17"/>
        <v>85287</v>
      </c>
      <c r="H218" s="449">
        <v>57526.9</v>
      </c>
      <c r="I218" s="450">
        <v>62780</v>
      </c>
      <c r="J218" s="449">
        <v>9504.5</v>
      </c>
      <c r="K218" s="450">
        <v>1687</v>
      </c>
      <c r="L218" s="449">
        <v>15960</v>
      </c>
      <c r="M218" s="449">
        <v>0</v>
      </c>
      <c r="N218" s="449"/>
      <c r="O218" s="450">
        <v>20820</v>
      </c>
      <c r="P218" s="450">
        <v>0</v>
      </c>
      <c r="Q218" s="450"/>
      <c r="R218" s="449"/>
      <c r="S218" s="450">
        <v>0</v>
      </c>
      <c r="T218" s="447">
        <f t="shared" si="18"/>
        <v>0</v>
      </c>
      <c r="U218" s="448">
        <f t="shared" si="19"/>
        <v>0</v>
      </c>
      <c r="V218" s="449">
        <v>0</v>
      </c>
      <c r="W218" s="450">
        <v>0</v>
      </c>
      <c r="X218" s="449">
        <v>0</v>
      </c>
      <c r="Y218" s="450">
        <v>0</v>
      </c>
      <c r="Z218" s="449">
        <v>0</v>
      </c>
      <c r="AA218" s="449">
        <v>0</v>
      </c>
      <c r="AB218" s="449">
        <v>0</v>
      </c>
      <c r="AC218" s="450">
        <v>0</v>
      </c>
      <c r="AD218" s="450">
        <v>0</v>
      </c>
      <c r="AE218" s="450">
        <v>0</v>
      </c>
      <c r="AF218" s="449"/>
      <c r="AG218" s="450"/>
    </row>
    <row r="219" spans="1:33" s="27" customFormat="1" ht="13.5" customHeight="1">
      <c r="A219" s="3" t="s">
        <v>247</v>
      </c>
      <c r="B219" s="2" t="s">
        <v>267</v>
      </c>
      <c r="C219" s="1" t="s">
        <v>805</v>
      </c>
      <c r="D219" s="62">
        <v>405872</v>
      </c>
      <c r="E219" s="62">
        <v>9</v>
      </c>
      <c r="F219" s="447">
        <f t="shared" si="16"/>
        <v>58589.5</v>
      </c>
      <c r="G219" s="448">
        <f t="shared" si="17"/>
        <v>56032.5</v>
      </c>
      <c r="H219" s="449">
        <v>44027.5</v>
      </c>
      <c r="I219" s="450">
        <v>41286.5</v>
      </c>
      <c r="J219" s="449">
        <v>1909</v>
      </c>
      <c r="K219" s="450">
        <v>1730</v>
      </c>
      <c r="L219" s="449">
        <v>12602</v>
      </c>
      <c r="M219" s="449">
        <v>51</v>
      </c>
      <c r="N219" s="449"/>
      <c r="O219" s="450">
        <v>13016</v>
      </c>
      <c r="P219" s="450">
        <v>0</v>
      </c>
      <c r="Q219" s="450"/>
      <c r="R219" s="449"/>
      <c r="S219" s="450">
        <v>0</v>
      </c>
      <c r="T219" s="447">
        <f t="shared" si="18"/>
        <v>0</v>
      </c>
      <c r="U219" s="448">
        <f t="shared" si="19"/>
        <v>0</v>
      </c>
      <c r="V219" s="449">
        <v>0</v>
      </c>
      <c r="W219" s="450">
        <v>0</v>
      </c>
      <c r="X219" s="449">
        <v>0</v>
      </c>
      <c r="Y219" s="450">
        <v>0</v>
      </c>
      <c r="Z219" s="449">
        <v>0</v>
      </c>
      <c r="AA219" s="449">
        <v>0</v>
      </c>
      <c r="AB219" s="449">
        <v>0</v>
      </c>
      <c r="AC219" s="450">
        <v>0</v>
      </c>
      <c r="AD219" s="450">
        <v>0</v>
      </c>
      <c r="AE219" s="450">
        <v>0</v>
      </c>
      <c r="AF219" s="449"/>
      <c r="AG219" s="450"/>
    </row>
    <row r="220" spans="1:33">
      <c r="A220" s="3" t="s">
        <v>247</v>
      </c>
      <c r="B220" s="2" t="s">
        <v>272</v>
      </c>
      <c r="C220" s="1"/>
      <c r="D220" s="62">
        <v>162104</v>
      </c>
      <c r="E220" s="62">
        <v>10</v>
      </c>
      <c r="F220" s="447">
        <f t="shared" si="16"/>
        <v>42408</v>
      </c>
      <c r="G220" s="448">
        <f t="shared" si="17"/>
        <v>40934</v>
      </c>
      <c r="H220" s="449">
        <v>28878</v>
      </c>
      <c r="I220" s="450">
        <v>26765</v>
      </c>
      <c r="J220" s="449">
        <v>2259</v>
      </c>
      <c r="K220" s="450">
        <v>2655</v>
      </c>
      <c r="L220" s="449">
        <v>11271</v>
      </c>
      <c r="M220" s="449">
        <v>0</v>
      </c>
      <c r="N220" s="449"/>
      <c r="O220" s="450">
        <v>11514</v>
      </c>
      <c r="P220" s="450">
        <v>0</v>
      </c>
      <c r="Q220" s="450"/>
      <c r="R220" s="449"/>
      <c r="S220" s="450">
        <v>0</v>
      </c>
      <c r="T220" s="447">
        <f t="shared" si="18"/>
        <v>0</v>
      </c>
      <c r="U220" s="448">
        <f t="shared" si="19"/>
        <v>0</v>
      </c>
      <c r="V220" s="449">
        <v>0</v>
      </c>
      <c r="W220" s="450">
        <v>0</v>
      </c>
      <c r="X220" s="449">
        <v>0</v>
      </c>
      <c r="Y220" s="450">
        <v>0</v>
      </c>
      <c r="Z220" s="449">
        <v>0</v>
      </c>
      <c r="AA220" s="449">
        <v>0</v>
      </c>
      <c r="AB220" s="449">
        <v>0</v>
      </c>
      <c r="AC220" s="450">
        <v>0</v>
      </c>
      <c r="AD220" s="450">
        <v>0</v>
      </c>
      <c r="AE220" s="450">
        <v>0</v>
      </c>
      <c r="AF220" s="449"/>
      <c r="AG220" s="450"/>
    </row>
    <row r="221" spans="1:33">
      <c r="A221" s="3" t="s">
        <v>247</v>
      </c>
      <c r="B221" s="2" t="s">
        <v>273</v>
      </c>
      <c r="C221" s="1"/>
      <c r="D221" s="62">
        <v>162168</v>
      </c>
      <c r="E221" s="62">
        <v>10</v>
      </c>
      <c r="F221" s="447">
        <f t="shared" si="16"/>
        <v>34688</v>
      </c>
      <c r="G221" s="448">
        <f t="shared" si="17"/>
        <v>35541</v>
      </c>
      <c r="H221" s="449">
        <v>20086</v>
      </c>
      <c r="I221" s="450">
        <v>19566</v>
      </c>
      <c r="J221" s="449">
        <v>3735</v>
      </c>
      <c r="K221" s="450">
        <v>3792</v>
      </c>
      <c r="L221" s="449">
        <v>10178</v>
      </c>
      <c r="M221" s="449">
        <v>689</v>
      </c>
      <c r="N221" s="449"/>
      <c r="O221" s="450">
        <v>11867</v>
      </c>
      <c r="P221" s="450">
        <v>316</v>
      </c>
      <c r="Q221" s="450"/>
      <c r="R221" s="449"/>
      <c r="S221" s="450">
        <v>0</v>
      </c>
      <c r="T221" s="447">
        <f t="shared" si="18"/>
        <v>0</v>
      </c>
      <c r="U221" s="448">
        <f t="shared" si="19"/>
        <v>0</v>
      </c>
      <c r="V221" s="449">
        <v>0</v>
      </c>
      <c r="W221" s="450">
        <v>0</v>
      </c>
      <c r="X221" s="449">
        <v>0</v>
      </c>
      <c r="Y221" s="450">
        <v>0</v>
      </c>
      <c r="Z221" s="449">
        <v>0</v>
      </c>
      <c r="AA221" s="449">
        <v>0</v>
      </c>
      <c r="AB221" s="449">
        <v>0</v>
      </c>
      <c r="AC221" s="450">
        <v>0</v>
      </c>
      <c r="AD221" s="450">
        <v>0</v>
      </c>
      <c r="AE221" s="450">
        <v>0</v>
      </c>
      <c r="AF221" s="449"/>
      <c r="AG221" s="450"/>
    </row>
    <row r="222" spans="1:33" s="27" customFormat="1" ht="12.75" customHeight="1">
      <c r="A222" s="3" t="s">
        <v>247</v>
      </c>
      <c r="B222" s="2" t="s">
        <v>260</v>
      </c>
      <c r="C222" s="64" t="s">
        <v>801</v>
      </c>
      <c r="D222" s="62">
        <v>162122</v>
      </c>
      <c r="E222" s="469">
        <v>9</v>
      </c>
      <c r="F222" s="447">
        <f t="shared" si="16"/>
        <v>133732</v>
      </c>
      <c r="G222" s="448">
        <f t="shared" si="17"/>
        <v>123381</v>
      </c>
      <c r="H222" s="449">
        <v>78847</v>
      </c>
      <c r="I222" s="450">
        <v>68070</v>
      </c>
      <c r="J222" s="449">
        <v>5693</v>
      </c>
      <c r="K222" s="450">
        <v>5797</v>
      </c>
      <c r="L222" s="449">
        <v>48878</v>
      </c>
      <c r="M222" s="449">
        <v>314</v>
      </c>
      <c r="N222" s="449"/>
      <c r="O222" s="450">
        <v>48717</v>
      </c>
      <c r="P222" s="450">
        <v>797</v>
      </c>
      <c r="Q222" s="450"/>
      <c r="R222" s="449"/>
      <c r="S222" s="450">
        <v>0</v>
      </c>
      <c r="T222" s="447">
        <f t="shared" si="18"/>
        <v>0</v>
      </c>
      <c r="U222" s="448">
        <f t="shared" si="19"/>
        <v>0</v>
      </c>
      <c r="V222" s="449">
        <v>0</v>
      </c>
      <c r="W222" s="450">
        <v>0</v>
      </c>
      <c r="X222" s="449">
        <v>0</v>
      </c>
      <c r="Y222" s="450">
        <v>0</v>
      </c>
      <c r="Z222" s="449">
        <v>0</v>
      </c>
      <c r="AA222" s="449">
        <v>0</v>
      </c>
      <c r="AB222" s="449">
        <v>0</v>
      </c>
      <c r="AC222" s="450">
        <v>0</v>
      </c>
      <c r="AD222" s="450">
        <v>0</v>
      </c>
      <c r="AE222" s="450">
        <v>0</v>
      </c>
      <c r="AF222" s="449"/>
      <c r="AG222" s="450"/>
    </row>
    <row r="223" spans="1:33" s="27" customFormat="1" ht="12.75" customHeight="1">
      <c r="A223" s="3" t="s">
        <v>247</v>
      </c>
      <c r="B223" s="2" t="s">
        <v>261</v>
      </c>
      <c r="C223" s="64"/>
      <c r="D223" s="62">
        <v>434672</v>
      </c>
      <c r="E223" s="62">
        <v>8</v>
      </c>
      <c r="F223" s="447">
        <f t="shared" si="16"/>
        <v>344522</v>
      </c>
      <c r="G223" s="448">
        <f t="shared" si="17"/>
        <v>318652</v>
      </c>
      <c r="H223" s="449">
        <v>228868</v>
      </c>
      <c r="I223" s="450">
        <v>205188</v>
      </c>
      <c r="J223" s="449">
        <v>41334</v>
      </c>
      <c r="K223" s="450">
        <v>35663</v>
      </c>
      <c r="L223" s="449">
        <v>74320</v>
      </c>
      <c r="M223" s="449">
        <v>0</v>
      </c>
      <c r="N223" s="449"/>
      <c r="O223" s="450">
        <v>77801</v>
      </c>
      <c r="P223" s="450">
        <v>0</v>
      </c>
      <c r="Q223" s="450"/>
      <c r="R223" s="449"/>
      <c r="S223" s="450">
        <v>0</v>
      </c>
      <c r="T223" s="447">
        <f t="shared" si="18"/>
        <v>0</v>
      </c>
      <c r="U223" s="448">
        <f t="shared" si="19"/>
        <v>0</v>
      </c>
      <c r="V223" s="449">
        <v>0</v>
      </c>
      <c r="W223" s="450">
        <v>0</v>
      </c>
      <c r="X223" s="449">
        <v>0</v>
      </c>
      <c r="Y223" s="450">
        <v>0</v>
      </c>
      <c r="Z223" s="449">
        <v>0</v>
      </c>
      <c r="AA223" s="449">
        <v>0</v>
      </c>
      <c r="AB223" s="449">
        <v>0</v>
      </c>
      <c r="AC223" s="450">
        <v>0</v>
      </c>
      <c r="AD223" s="450">
        <v>0</v>
      </c>
      <c r="AE223" s="450">
        <v>0</v>
      </c>
      <c r="AF223" s="449"/>
      <c r="AG223" s="450"/>
    </row>
    <row r="224" spans="1:33">
      <c r="A224" s="3" t="s">
        <v>247</v>
      </c>
      <c r="B224" s="2" t="s">
        <v>268</v>
      </c>
      <c r="C224" s="1"/>
      <c r="D224" s="62">
        <v>162557</v>
      </c>
      <c r="E224" s="62">
        <v>9</v>
      </c>
      <c r="F224" s="447">
        <f t="shared" si="16"/>
        <v>107702</v>
      </c>
      <c r="G224" s="448">
        <f t="shared" si="17"/>
        <v>107486</v>
      </c>
      <c r="H224" s="449">
        <v>75041</v>
      </c>
      <c r="I224" s="450">
        <v>71066</v>
      </c>
      <c r="J224" s="449">
        <v>7822</v>
      </c>
      <c r="K224" s="450">
        <v>10053</v>
      </c>
      <c r="L224" s="449">
        <v>24839</v>
      </c>
      <c r="M224" s="449">
        <v>0</v>
      </c>
      <c r="N224" s="449"/>
      <c r="O224" s="450">
        <v>26367</v>
      </c>
      <c r="P224" s="450">
        <v>0</v>
      </c>
      <c r="Q224" s="450"/>
      <c r="R224" s="449"/>
      <c r="S224" s="450">
        <v>0</v>
      </c>
      <c r="T224" s="447">
        <f t="shared" si="18"/>
        <v>0</v>
      </c>
      <c r="U224" s="448">
        <f t="shared" si="19"/>
        <v>0</v>
      </c>
      <c r="V224" s="449">
        <v>0</v>
      </c>
      <c r="W224" s="450">
        <v>0</v>
      </c>
      <c r="X224" s="449">
        <v>0</v>
      </c>
      <c r="Y224" s="450">
        <v>0</v>
      </c>
      <c r="Z224" s="449">
        <v>0</v>
      </c>
      <c r="AA224" s="449">
        <v>0</v>
      </c>
      <c r="AB224" s="449">
        <v>0</v>
      </c>
      <c r="AC224" s="450">
        <v>0</v>
      </c>
      <c r="AD224" s="450">
        <v>0</v>
      </c>
      <c r="AE224" s="450">
        <v>0</v>
      </c>
      <c r="AF224" s="449"/>
      <c r="AG224" s="450"/>
    </row>
    <row r="225" spans="1:33">
      <c r="A225" s="3" t="s">
        <v>247</v>
      </c>
      <c r="B225" s="2" t="s">
        <v>274</v>
      </c>
      <c r="C225" s="1"/>
      <c r="D225" s="62">
        <v>162609</v>
      </c>
      <c r="E225" s="62">
        <v>10</v>
      </c>
      <c r="F225" s="447">
        <f t="shared" si="16"/>
        <v>14581.5</v>
      </c>
      <c r="G225" s="448">
        <f t="shared" si="17"/>
        <v>14046</v>
      </c>
      <c r="H225" s="449">
        <v>10413.5</v>
      </c>
      <c r="I225" s="450">
        <v>9371</v>
      </c>
      <c r="J225" s="449">
        <v>685</v>
      </c>
      <c r="K225" s="450">
        <v>1134</v>
      </c>
      <c r="L225" s="449">
        <v>3303</v>
      </c>
      <c r="M225" s="449">
        <v>180</v>
      </c>
      <c r="N225" s="449"/>
      <c r="O225" s="450">
        <v>3541</v>
      </c>
      <c r="P225" s="450">
        <v>0</v>
      </c>
      <c r="Q225" s="450"/>
      <c r="R225" s="449"/>
      <c r="S225" s="450">
        <v>0</v>
      </c>
      <c r="T225" s="447">
        <f t="shared" si="18"/>
        <v>0</v>
      </c>
      <c r="U225" s="448">
        <f t="shared" si="19"/>
        <v>0</v>
      </c>
      <c r="V225" s="449">
        <v>0</v>
      </c>
      <c r="W225" s="450">
        <v>0</v>
      </c>
      <c r="X225" s="449">
        <v>0</v>
      </c>
      <c r="Y225" s="450">
        <v>0</v>
      </c>
      <c r="Z225" s="449">
        <v>0</v>
      </c>
      <c r="AA225" s="449">
        <v>0</v>
      </c>
      <c r="AB225" s="449">
        <v>0</v>
      </c>
      <c r="AC225" s="450">
        <v>0</v>
      </c>
      <c r="AD225" s="450">
        <v>0</v>
      </c>
      <c r="AE225" s="450">
        <v>0</v>
      </c>
      <c r="AF225" s="449"/>
      <c r="AG225" s="450"/>
    </row>
    <row r="226" spans="1:33" s="27" customFormat="1" ht="15" customHeight="1">
      <c r="A226" s="3" t="s">
        <v>247</v>
      </c>
      <c r="B226" s="2" t="s">
        <v>269</v>
      </c>
      <c r="C226" s="1"/>
      <c r="D226" s="62">
        <v>162690</v>
      </c>
      <c r="E226" s="62">
        <v>9</v>
      </c>
      <c r="F226" s="447">
        <f t="shared" si="16"/>
        <v>79544</v>
      </c>
      <c r="G226" s="448">
        <f t="shared" si="17"/>
        <v>71529</v>
      </c>
      <c r="H226" s="449">
        <v>49376</v>
      </c>
      <c r="I226" s="450">
        <v>44096</v>
      </c>
      <c r="J226" s="449">
        <v>5254</v>
      </c>
      <c r="K226" s="450">
        <v>4429</v>
      </c>
      <c r="L226" s="449">
        <v>24818</v>
      </c>
      <c r="M226" s="449">
        <v>0</v>
      </c>
      <c r="N226" s="449"/>
      <c r="O226" s="450">
        <v>22977</v>
      </c>
      <c r="P226" s="450">
        <v>0</v>
      </c>
      <c r="Q226" s="450"/>
      <c r="R226" s="449">
        <v>96</v>
      </c>
      <c r="S226" s="450">
        <v>27</v>
      </c>
      <c r="T226" s="447">
        <f t="shared" si="18"/>
        <v>0</v>
      </c>
      <c r="U226" s="448">
        <f t="shared" si="19"/>
        <v>0</v>
      </c>
      <c r="V226" s="449">
        <v>0</v>
      </c>
      <c r="W226" s="450">
        <v>0</v>
      </c>
      <c r="X226" s="449">
        <v>0</v>
      </c>
      <c r="Y226" s="450">
        <v>0</v>
      </c>
      <c r="Z226" s="449">
        <v>0</v>
      </c>
      <c r="AA226" s="449">
        <v>0</v>
      </c>
      <c r="AB226" s="449">
        <v>0</v>
      </c>
      <c r="AC226" s="450">
        <v>0</v>
      </c>
      <c r="AD226" s="450">
        <v>0</v>
      </c>
      <c r="AE226" s="450">
        <v>0</v>
      </c>
      <c r="AF226" s="449"/>
      <c r="AG226" s="450"/>
    </row>
    <row r="227" spans="1:33">
      <c r="A227" s="3" t="s">
        <v>247</v>
      </c>
      <c r="B227" s="2" t="s">
        <v>270</v>
      </c>
      <c r="C227" s="1"/>
      <c r="D227" s="62">
        <v>162706</v>
      </c>
      <c r="E227" s="62">
        <v>9</v>
      </c>
      <c r="F227" s="447">
        <f t="shared" si="16"/>
        <v>105968</v>
      </c>
      <c r="G227" s="448">
        <f t="shared" si="17"/>
        <v>103258</v>
      </c>
      <c r="H227" s="449">
        <v>67225</v>
      </c>
      <c r="I227" s="450">
        <v>66038</v>
      </c>
      <c r="J227" s="449">
        <v>2572</v>
      </c>
      <c r="K227" s="450">
        <v>1585</v>
      </c>
      <c r="L227" s="449">
        <v>36171</v>
      </c>
      <c r="M227" s="449">
        <v>0</v>
      </c>
      <c r="N227" s="449"/>
      <c r="O227" s="450">
        <v>35635</v>
      </c>
      <c r="P227" s="450">
        <v>0</v>
      </c>
      <c r="Q227" s="450"/>
      <c r="R227" s="449"/>
      <c r="S227" s="450">
        <v>0</v>
      </c>
      <c r="T227" s="447">
        <f t="shared" si="18"/>
        <v>0</v>
      </c>
      <c r="U227" s="448">
        <f t="shared" si="19"/>
        <v>0</v>
      </c>
      <c r="V227" s="449">
        <v>0</v>
      </c>
      <c r="W227" s="450">
        <v>0</v>
      </c>
      <c r="X227" s="449">
        <v>0</v>
      </c>
      <c r="Y227" s="450">
        <v>0</v>
      </c>
      <c r="Z227" s="449">
        <v>0</v>
      </c>
      <c r="AA227" s="449">
        <v>0</v>
      </c>
      <c r="AB227" s="449">
        <v>0</v>
      </c>
      <c r="AC227" s="450">
        <v>0</v>
      </c>
      <c r="AD227" s="450">
        <v>0</v>
      </c>
      <c r="AE227" s="450">
        <v>0</v>
      </c>
      <c r="AF227" s="449"/>
      <c r="AG227" s="450"/>
    </row>
    <row r="228" spans="1:33">
      <c r="A228" s="3" t="s">
        <v>247</v>
      </c>
      <c r="B228" s="65" t="s">
        <v>262</v>
      </c>
      <c r="C228" s="66"/>
      <c r="D228" s="62">
        <v>162779</v>
      </c>
      <c r="E228" s="62">
        <v>8</v>
      </c>
      <c r="F228" s="447">
        <f t="shared" si="16"/>
        <v>184652</v>
      </c>
      <c r="G228" s="448">
        <f t="shared" si="17"/>
        <v>174934</v>
      </c>
      <c r="H228" s="449">
        <v>142588</v>
      </c>
      <c r="I228" s="450">
        <v>134487</v>
      </c>
      <c r="J228" s="449">
        <v>7811</v>
      </c>
      <c r="K228" s="450">
        <v>10067</v>
      </c>
      <c r="L228" s="449">
        <v>34253</v>
      </c>
      <c r="M228" s="449">
        <v>0</v>
      </c>
      <c r="N228" s="449"/>
      <c r="O228" s="450">
        <v>30380</v>
      </c>
      <c r="P228" s="450">
        <v>0</v>
      </c>
      <c r="Q228" s="450"/>
      <c r="R228" s="449"/>
      <c r="S228" s="450">
        <v>0</v>
      </c>
      <c r="T228" s="447">
        <f t="shared" si="18"/>
        <v>0</v>
      </c>
      <c r="U228" s="448">
        <f t="shared" si="19"/>
        <v>0</v>
      </c>
      <c r="V228" s="449">
        <v>0</v>
      </c>
      <c r="W228" s="450">
        <v>0</v>
      </c>
      <c r="X228" s="449">
        <v>0</v>
      </c>
      <c r="Y228" s="450">
        <v>0</v>
      </c>
      <c r="Z228" s="449">
        <v>0</v>
      </c>
      <c r="AA228" s="449">
        <v>0</v>
      </c>
      <c r="AB228" s="449">
        <v>0</v>
      </c>
      <c r="AC228" s="450">
        <v>0</v>
      </c>
      <c r="AD228" s="450">
        <v>0</v>
      </c>
      <c r="AE228" s="450">
        <v>0</v>
      </c>
      <c r="AF228" s="449"/>
      <c r="AG228" s="450"/>
    </row>
    <row r="229" spans="1:33">
      <c r="A229" s="3" t="s">
        <v>247</v>
      </c>
      <c r="B229" s="2" t="s">
        <v>263</v>
      </c>
      <c r="C229" s="1"/>
      <c r="D229" s="62">
        <v>163426</v>
      </c>
      <c r="E229" s="62">
        <v>8</v>
      </c>
      <c r="F229" s="447">
        <f t="shared" si="16"/>
        <v>649848</v>
      </c>
      <c r="G229" s="448">
        <f t="shared" si="17"/>
        <v>651205.40999999992</v>
      </c>
      <c r="H229" s="449">
        <v>485389</v>
      </c>
      <c r="I229" s="450">
        <v>474125.6</v>
      </c>
      <c r="J229" s="449">
        <v>88968</v>
      </c>
      <c r="K229" s="450">
        <v>92989.11</v>
      </c>
      <c r="L229" s="449">
        <v>75491</v>
      </c>
      <c r="M229" s="449">
        <v>0</v>
      </c>
      <c r="N229" s="449"/>
      <c r="O229" s="450">
        <v>84090.7</v>
      </c>
      <c r="P229" s="450">
        <v>0</v>
      </c>
      <c r="Q229" s="450"/>
      <c r="R229" s="449"/>
      <c r="S229" s="450">
        <v>0</v>
      </c>
      <c r="T229" s="447">
        <f t="shared" si="18"/>
        <v>0</v>
      </c>
      <c r="U229" s="448">
        <f t="shared" si="19"/>
        <v>0</v>
      </c>
      <c r="V229" s="449">
        <v>0</v>
      </c>
      <c r="W229" s="450">
        <v>0</v>
      </c>
      <c r="X229" s="449">
        <v>0</v>
      </c>
      <c r="Y229" s="450">
        <v>0</v>
      </c>
      <c r="Z229" s="449">
        <v>0</v>
      </c>
      <c r="AA229" s="449">
        <v>0</v>
      </c>
      <c r="AB229" s="449">
        <v>0</v>
      </c>
      <c r="AC229" s="450">
        <v>0</v>
      </c>
      <c r="AD229" s="450">
        <v>0</v>
      </c>
      <c r="AE229" s="450">
        <v>0</v>
      </c>
      <c r="AF229" s="449"/>
      <c r="AG229" s="450"/>
    </row>
    <row r="230" spans="1:33">
      <c r="A230" s="3" t="s">
        <v>247</v>
      </c>
      <c r="B230" s="2" t="s">
        <v>264</v>
      </c>
      <c r="C230" s="64"/>
      <c r="D230" s="62">
        <v>163657</v>
      </c>
      <c r="E230" s="62">
        <v>8</v>
      </c>
      <c r="F230" s="447">
        <f t="shared" si="16"/>
        <v>391695</v>
      </c>
      <c r="G230" s="448">
        <f t="shared" si="17"/>
        <v>404108</v>
      </c>
      <c r="H230" s="449">
        <v>179555</v>
      </c>
      <c r="I230" s="450">
        <v>172343</v>
      </c>
      <c r="J230" s="449">
        <v>167494</v>
      </c>
      <c r="K230" s="450">
        <v>185023</v>
      </c>
      <c r="L230" s="449">
        <v>44646</v>
      </c>
      <c r="M230" s="449">
        <v>0</v>
      </c>
      <c r="N230" s="449"/>
      <c r="O230" s="450">
        <v>46742</v>
      </c>
      <c r="P230" s="450">
        <v>0</v>
      </c>
      <c r="Q230" s="450"/>
      <c r="R230" s="449"/>
      <c r="S230" s="450">
        <v>0</v>
      </c>
      <c r="T230" s="447">
        <f t="shared" si="18"/>
        <v>0</v>
      </c>
      <c r="U230" s="448">
        <f t="shared" si="19"/>
        <v>0</v>
      </c>
      <c r="V230" s="449">
        <v>0</v>
      </c>
      <c r="W230" s="450">
        <v>0</v>
      </c>
      <c r="X230" s="449">
        <v>0</v>
      </c>
      <c r="Y230" s="450">
        <v>0</v>
      </c>
      <c r="Z230" s="449">
        <v>0</v>
      </c>
      <c r="AA230" s="449">
        <v>0</v>
      </c>
      <c r="AB230" s="449">
        <v>0</v>
      </c>
      <c r="AC230" s="450">
        <v>0</v>
      </c>
      <c r="AD230" s="450">
        <v>0</v>
      </c>
      <c r="AE230" s="450">
        <v>0</v>
      </c>
      <c r="AF230" s="449"/>
      <c r="AG230" s="450"/>
    </row>
    <row r="231" spans="1:33" ht="14.5">
      <c r="A231" s="3" t="s">
        <v>247</v>
      </c>
      <c r="B231" s="106" t="s">
        <v>271</v>
      </c>
      <c r="C231" s="105"/>
      <c r="D231" s="62">
        <v>164313</v>
      </c>
      <c r="E231" s="62">
        <v>10</v>
      </c>
      <c r="F231" s="447">
        <f t="shared" si="16"/>
        <v>52326.5</v>
      </c>
      <c r="G231" s="448">
        <f t="shared" si="17"/>
        <v>49154.5</v>
      </c>
      <c r="H231" s="449">
        <v>37667.5</v>
      </c>
      <c r="I231" s="450">
        <v>31510.5</v>
      </c>
      <c r="J231" s="449">
        <v>2552</v>
      </c>
      <c r="K231" s="450">
        <v>4864</v>
      </c>
      <c r="L231" s="449">
        <v>11957</v>
      </c>
      <c r="M231" s="449">
        <v>150</v>
      </c>
      <c r="N231" s="449"/>
      <c r="O231" s="450">
        <v>12525</v>
      </c>
      <c r="P231" s="450">
        <v>255</v>
      </c>
      <c r="Q231" s="450"/>
      <c r="R231" s="449"/>
      <c r="S231" s="450">
        <v>0</v>
      </c>
      <c r="T231" s="447">
        <f t="shared" si="18"/>
        <v>0</v>
      </c>
      <c r="U231" s="448">
        <f t="shared" si="19"/>
        <v>0</v>
      </c>
      <c r="V231" s="449">
        <v>0</v>
      </c>
      <c r="W231" s="450">
        <v>0</v>
      </c>
      <c r="X231" s="449">
        <v>0</v>
      </c>
      <c r="Y231" s="450">
        <v>0</v>
      </c>
      <c r="Z231" s="449">
        <v>0</v>
      </c>
      <c r="AA231" s="449">
        <v>0</v>
      </c>
      <c r="AB231" s="449">
        <v>0</v>
      </c>
      <c r="AC231" s="450">
        <v>0</v>
      </c>
      <c r="AD231" s="450">
        <v>0</v>
      </c>
      <c r="AE231" s="450">
        <v>0</v>
      </c>
      <c r="AF231" s="449"/>
      <c r="AG231" s="450"/>
    </row>
    <row r="232" spans="1:33">
      <c r="A232" s="3" t="s">
        <v>247</v>
      </c>
      <c r="B232" s="2" t="s">
        <v>252</v>
      </c>
      <c r="C232" s="1" t="s">
        <v>782</v>
      </c>
      <c r="D232" s="62">
        <v>162007</v>
      </c>
      <c r="E232" s="62">
        <v>4</v>
      </c>
      <c r="F232" s="447">
        <f t="shared" si="16"/>
        <v>144158</v>
      </c>
      <c r="G232" s="448">
        <f t="shared" si="17"/>
        <v>141638</v>
      </c>
      <c r="H232" s="449">
        <v>114104</v>
      </c>
      <c r="I232" s="450">
        <v>110627</v>
      </c>
      <c r="J232" s="449">
        <v>0</v>
      </c>
      <c r="K232" s="450">
        <v>16</v>
      </c>
      <c r="L232" s="449">
        <v>30054</v>
      </c>
      <c r="M232" s="449">
        <v>0</v>
      </c>
      <c r="N232" s="449"/>
      <c r="O232" s="450">
        <v>30995</v>
      </c>
      <c r="P232" s="450">
        <v>0</v>
      </c>
      <c r="Q232" s="450"/>
      <c r="R232" s="449"/>
      <c r="S232" s="450">
        <v>0</v>
      </c>
      <c r="T232" s="447">
        <f t="shared" si="18"/>
        <v>15018</v>
      </c>
      <c r="U232" s="448">
        <f t="shared" si="19"/>
        <v>15058</v>
      </c>
      <c r="V232" s="449">
        <v>12697</v>
      </c>
      <c r="W232" s="450">
        <v>11689</v>
      </c>
      <c r="X232" s="449">
        <v>0</v>
      </c>
      <c r="Y232" s="450">
        <v>207</v>
      </c>
      <c r="Z232" s="449">
        <v>2321</v>
      </c>
      <c r="AA232" s="449">
        <v>0</v>
      </c>
      <c r="AB232" s="449">
        <v>0</v>
      </c>
      <c r="AC232" s="450">
        <v>3162</v>
      </c>
      <c r="AD232" s="450">
        <v>0</v>
      </c>
      <c r="AE232" s="450">
        <v>0</v>
      </c>
      <c r="AF232" s="449"/>
      <c r="AG232" s="450"/>
    </row>
    <row r="233" spans="1:33">
      <c r="A233" s="63" t="s">
        <v>247</v>
      </c>
      <c r="B233" s="2" t="s">
        <v>257</v>
      </c>
      <c r="C233" s="1" t="s">
        <v>806</v>
      </c>
      <c r="D233" s="62">
        <v>162283</v>
      </c>
      <c r="E233" s="62">
        <v>5</v>
      </c>
      <c r="F233" s="447">
        <f t="shared" si="16"/>
        <v>61715</v>
      </c>
      <c r="G233" s="448">
        <f t="shared" si="17"/>
        <v>60266</v>
      </c>
      <c r="H233" s="449">
        <v>48596</v>
      </c>
      <c r="I233" s="450">
        <v>48082</v>
      </c>
      <c r="J233" s="449">
        <v>45</v>
      </c>
      <c r="K233" s="450">
        <v>0</v>
      </c>
      <c r="L233" s="449">
        <v>13074</v>
      </c>
      <c r="M233" s="449">
        <v>0</v>
      </c>
      <c r="N233" s="449"/>
      <c r="O233" s="450">
        <v>12184</v>
      </c>
      <c r="P233" s="450">
        <v>0</v>
      </c>
      <c r="Q233" s="450"/>
      <c r="R233" s="449"/>
      <c r="S233" s="450">
        <v>0</v>
      </c>
      <c r="T233" s="447">
        <f t="shared" si="18"/>
        <v>5201</v>
      </c>
      <c r="U233" s="448">
        <f t="shared" si="19"/>
        <v>4591</v>
      </c>
      <c r="V233" s="449">
        <v>4291</v>
      </c>
      <c r="W233" s="450">
        <v>3883</v>
      </c>
      <c r="X233" s="449">
        <v>234</v>
      </c>
      <c r="Y233" s="450">
        <v>84</v>
      </c>
      <c r="Z233" s="449">
        <v>676</v>
      </c>
      <c r="AA233" s="449">
        <v>0</v>
      </c>
      <c r="AB233" s="449">
        <v>0</v>
      </c>
      <c r="AC233" s="450">
        <v>624</v>
      </c>
      <c r="AD233" s="450">
        <v>0</v>
      </c>
      <c r="AE233" s="450">
        <v>0</v>
      </c>
      <c r="AF233" s="449"/>
      <c r="AG233" s="450"/>
    </row>
    <row r="234" spans="1:33">
      <c r="A234" s="3" t="s">
        <v>247</v>
      </c>
      <c r="B234" s="65" t="s">
        <v>253</v>
      </c>
      <c r="C234" s="1"/>
      <c r="D234" s="62">
        <v>162584</v>
      </c>
      <c r="E234" s="62">
        <v>4</v>
      </c>
      <c r="F234" s="447">
        <f t="shared" si="16"/>
        <v>128987</v>
      </c>
      <c r="G234" s="448">
        <f t="shared" si="17"/>
        <v>122893</v>
      </c>
      <c r="H234" s="449">
        <v>99006</v>
      </c>
      <c r="I234" s="450">
        <v>92082</v>
      </c>
      <c r="J234" s="449">
        <v>3093</v>
      </c>
      <c r="K234" s="450">
        <v>2350</v>
      </c>
      <c r="L234" s="449">
        <v>26888</v>
      </c>
      <c r="M234" s="449">
        <v>0</v>
      </c>
      <c r="N234" s="449"/>
      <c r="O234" s="450">
        <v>28461</v>
      </c>
      <c r="P234" s="450">
        <v>0</v>
      </c>
      <c r="Q234" s="450"/>
      <c r="R234" s="449"/>
      <c r="S234" s="450">
        <v>0</v>
      </c>
      <c r="T234" s="447">
        <f t="shared" si="18"/>
        <v>9864</v>
      </c>
      <c r="U234" s="448">
        <f t="shared" si="19"/>
        <v>12242</v>
      </c>
      <c r="V234" s="449">
        <v>4039</v>
      </c>
      <c r="W234" s="450">
        <v>4604</v>
      </c>
      <c r="X234" s="449">
        <v>480</v>
      </c>
      <c r="Y234" s="450">
        <v>1385</v>
      </c>
      <c r="Z234" s="449">
        <v>5345</v>
      </c>
      <c r="AA234" s="449">
        <v>0</v>
      </c>
      <c r="AB234" s="449">
        <v>0</v>
      </c>
      <c r="AC234" s="450">
        <v>6253</v>
      </c>
      <c r="AD234" s="450">
        <v>0</v>
      </c>
      <c r="AE234" s="450">
        <v>0</v>
      </c>
      <c r="AF234" s="449"/>
      <c r="AG234" s="450"/>
    </row>
    <row r="235" spans="1:33">
      <c r="A235" s="3" t="s">
        <v>247</v>
      </c>
      <c r="B235" s="2" t="s">
        <v>254</v>
      </c>
      <c r="C235" s="1"/>
      <c r="D235" s="62">
        <v>163851</v>
      </c>
      <c r="E235" s="62">
        <v>4</v>
      </c>
      <c r="F235" s="447">
        <f t="shared" si="16"/>
        <v>228174</v>
      </c>
      <c r="G235" s="448">
        <f t="shared" si="17"/>
        <v>226587</v>
      </c>
      <c r="H235" s="449">
        <v>196008</v>
      </c>
      <c r="I235" s="450">
        <v>192704</v>
      </c>
      <c r="J235" s="449">
        <v>2604</v>
      </c>
      <c r="K235" s="450">
        <v>2949</v>
      </c>
      <c r="L235" s="449">
        <v>22775</v>
      </c>
      <c r="M235" s="449">
        <v>6787</v>
      </c>
      <c r="N235" s="449"/>
      <c r="O235" s="450">
        <v>22931</v>
      </c>
      <c r="P235" s="450">
        <v>8003</v>
      </c>
      <c r="Q235" s="450"/>
      <c r="R235" s="449"/>
      <c r="S235" s="450">
        <v>0</v>
      </c>
      <c r="T235" s="447">
        <f t="shared" si="18"/>
        <v>15405</v>
      </c>
      <c r="U235" s="448">
        <f t="shared" si="19"/>
        <v>15569</v>
      </c>
      <c r="V235" s="449">
        <v>2375</v>
      </c>
      <c r="W235" s="450">
        <v>2032</v>
      </c>
      <c r="X235" s="449">
        <v>0</v>
      </c>
      <c r="Y235" s="450">
        <v>69</v>
      </c>
      <c r="Z235" s="449">
        <v>9649</v>
      </c>
      <c r="AA235" s="449">
        <v>3381</v>
      </c>
      <c r="AB235" s="449">
        <v>0</v>
      </c>
      <c r="AC235" s="450">
        <v>10338</v>
      </c>
      <c r="AD235" s="450">
        <v>3130</v>
      </c>
      <c r="AE235" s="450">
        <v>0</v>
      </c>
      <c r="AF235" s="449"/>
      <c r="AG235" s="450"/>
    </row>
    <row r="236" spans="1:33">
      <c r="A236" s="3" t="s">
        <v>247</v>
      </c>
      <c r="B236" s="2" t="s">
        <v>251</v>
      </c>
      <c r="C236" s="1"/>
      <c r="D236" s="62">
        <v>164076</v>
      </c>
      <c r="E236" s="62">
        <v>3</v>
      </c>
      <c r="F236" s="447">
        <f t="shared" si="16"/>
        <v>550848.5</v>
      </c>
      <c r="G236" s="448">
        <f t="shared" si="17"/>
        <v>549406.5</v>
      </c>
      <c r="H236" s="449">
        <v>479082.5</v>
      </c>
      <c r="I236" s="450">
        <v>471443.5</v>
      </c>
      <c r="J236" s="449">
        <v>11986</v>
      </c>
      <c r="K236" s="450">
        <v>12031</v>
      </c>
      <c r="L236" s="449">
        <v>59780</v>
      </c>
      <c r="M236" s="449">
        <v>0</v>
      </c>
      <c r="N236" s="449"/>
      <c r="O236" s="450">
        <v>65878</v>
      </c>
      <c r="P236" s="450">
        <v>54</v>
      </c>
      <c r="Q236" s="450"/>
      <c r="R236" s="449"/>
      <c r="S236" s="450">
        <v>0</v>
      </c>
      <c r="T236" s="447">
        <f t="shared" si="18"/>
        <v>45223</v>
      </c>
      <c r="U236" s="448">
        <f t="shared" si="19"/>
        <v>44384</v>
      </c>
      <c r="V236" s="449">
        <v>27769.5</v>
      </c>
      <c r="W236" s="450">
        <v>26883</v>
      </c>
      <c r="X236" s="449">
        <v>6545.5</v>
      </c>
      <c r="Y236" s="450">
        <v>6884</v>
      </c>
      <c r="Z236" s="449">
        <v>10908</v>
      </c>
      <c r="AA236" s="449">
        <v>0</v>
      </c>
      <c r="AB236" s="449">
        <v>0</v>
      </c>
      <c r="AC236" s="450">
        <v>10617</v>
      </c>
      <c r="AD236" s="450">
        <v>0</v>
      </c>
      <c r="AE236" s="450">
        <v>0</v>
      </c>
      <c r="AF236" s="449"/>
      <c r="AG236" s="450"/>
    </row>
    <row r="237" spans="1:33">
      <c r="A237" s="3" t="s">
        <v>247</v>
      </c>
      <c r="B237" s="2" t="s">
        <v>255</v>
      </c>
      <c r="C237" s="64"/>
      <c r="D237" s="62">
        <v>161873</v>
      </c>
      <c r="E237" s="62">
        <v>3</v>
      </c>
      <c r="F237" s="447">
        <f t="shared" si="16"/>
        <v>58715</v>
      </c>
      <c r="G237" s="448">
        <f t="shared" si="17"/>
        <v>49150</v>
      </c>
      <c r="H237" s="449">
        <v>40368</v>
      </c>
      <c r="I237" s="450">
        <v>32248</v>
      </c>
      <c r="J237" s="449">
        <v>1173</v>
      </c>
      <c r="K237" s="450">
        <v>1104</v>
      </c>
      <c r="L237" s="449">
        <v>17174</v>
      </c>
      <c r="M237" s="449">
        <v>0</v>
      </c>
      <c r="N237" s="449"/>
      <c r="O237" s="450">
        <v>15798</v>
      </c>
      <c r="P237" s="450">
        <v>0</v>
      </c>
      <c r="Q237" s="450"/>
      <c r="R237" s="449"/>
      <c r="S237" s="450">
        <v>0</v>
      </c>
      <c r="T237" s="447">
        <f t="shared" si="18"/>
        <v>42737</v>
      </c>
      <c r="U237" s="448">
        <f t="shared" si="19"/>
        <v>40994.5</v>
      </c>
      <c r="V237" s="449">
        <v>30674</v>
      </c>
      <c r="W237" s="450">
        <v>29313</v>
      </c>
      <c r="X237" s="449">
        <v>1694</v>
      </c>
      <c r="Y237" s="450">
        <v>1297</v>
      </c>
      <c r="Z237" s="449">
        <v>10369</v>
      </c>
      <c r="AA237" s="449">
        <v>0</v>
      </c>
      <c r="AB237" s="449">
        <v>0</v>
      </c>
      <c r="AC237" s="450">
        <v>10384.5</v>
      </c>
      <c r="AD237" s="450">
        <v>0</v>
      </c>
      <c r="AE237" s="450">
        <v>0</v>
      </c>
      <c r="AF237" s="449"/>
      <c r="AG237" s="450"/>
    </row>
    <row r="238" spans="1:33">
      <c r="A238" s="3" t="s">
        <v>247</v>
      </c>
      <c r="B238" s="2" t="s">
        <v>275</v>
      </c>
      <c r="C238" s="1"/>
      <c r="D238" s="62">
        <v>163259</v>
      </c>
      <c r="E238" s="62">
        <v>15</v>
      </c>
      <c r="F238" s="447">
        <f t="shared" si="16"/>
        <v>22887</v>
      </c>
      <c r="G238" s="448">
        <f t="shared" si="17"/>
        <v>22681.5</v>
      </c>
      <c r="H238" s="449">
        <v>11558</v>
      </c>
      <c r="I238" s="450">
        <v>11379</v>
      </c>
      <c r="J238" s="449">
        <v>7556.5</v>
      </c>
      <c r="K238" s="450">
        <v>7408</v>
      </c>
      <c r="L238" s="449">
        <v>3764</v>
      </c>
      <c r="M238" s="449">
        <v>8.5</v>
      </c>
      <c r="N238" s="449"/>
      <c r="O238" s="450">
        <v>3894.5</v>
      </c>
      <c r="P238" s="450">
        <v>0</v>
      </c>
      <c r="Q238" s="450"/>
      <c r="R238" s="449"/>
      <c r="S238" s="450">
        <v>0</v>
      </c>
      <c r="T238" s="447">
        <f t="shared" si="18"/>
        <v>52610</v>
      </c>
      <c r="U238" s="448">
        <f t="shared" si="19"/>
        <v>51874</v>
      </c>
      <c r="V238" s="449">
        <v>26866</v>
      </c>
      <c r="W238" s="450">
        <v>25949</v>
      </c>
      <c r="X238" s="449">
        <v>7836</v>
      </c>
      <c r="Y238" s="450">
        <v>7355</v>
      </c>
      <c r="Z238" s="449">
        <v>17559</v>
      </c>
      <c r="AA238" s="449">
        <v>349</v>
      </c>
      <c r="AB238" s="449">
        <v>0</v>
      </c>
      <c r="AC238" s="450">
        <v>18305</v>
      </c>
      <c r="AD238" s="450">
        <v>265</v>
      </c>
      <c r="AE238" s="450">
        <v>0</v>
      </c>
      <c r="AF238" s="449"/>
      <c r="AG238" s="450"/>
    </row>
    <row r="239" spans="1:33">
      <c r="A239" s="3" t="s">
        <v>247</v>
      </c>
      <c r="B239" s="65" t="s">
        <v>250</v>
      </c>
      <c r="C239" s="66"/>
      <c r="D239" s="62">
        <v>163268</v>
      </c>
      <c r="E239" s="62">
        <v>2</v>
      </c>
      <c r="F239" s="447">
        <f t="shared" si="16"/>
        <v>322423</v>
      </c>
      <c r="G239" s="448">
        <f t="shared" si="17"/>
        <v>314288.5</v>
      </c>
      <c r="H239" s="449">
        <v>271847</v>
      </c>
      <c r="I239" s="450">
        <v>261271.5</v>
      </c>
      <c r="J239" s="449">
        <v>7335</v>
      </c>
      <c r="K239" s="450">
        <v>7504</v>
      </c>
      <c r="L239" s="449">
        <v>43241</v>
      </c>
      <c r="M239" s="449">
        <v>0</v>
      </c>
      <c r="N239" s="449"/>
      <c r="O239" s="450">
        <v>45513</v>
      </c>
      <c r="P239" s="450">
        <v>0</v>
      </c>
      <c r="Q239" s="450"/>
      <c r="R239" s="449"/>
      <c r="S239" s="450">
        <v>0</v>
      </c>
      <c r="T239" s="447">
        <f t="shared" si="18"/>
        <v>33987</v>
      </c>
      <c r="U239" s="448">
        <f t="shared" si="19"/>
        <v>34824</v>
      </c>
      <c r="V239" s="449">
        <v>22714</v>
      </c>
      <c r="W239" s="450">
        <v>24228</v>
      </c>
      <c r="X239" s="449">
        <v>3527</v>
      </c>
      <c r="Y239" s="450">
        <v>2594</v>
      </c>
      <c r="Z239" s="449">
        <v>7746</v>
      </c>
      <c r="AA239" s="449">
        <v>0</v>
      </c>
      <c r="AB239" s="449">
        <v>0</v>
      </c>
      <c r="AC239" s="450">
        <v>8002</v>
      </c>
      <c r="AD239" s="450">
        <v>0</v>
      </c>
      <c r="AE239" s="450">
        <v>0</v>
      </c>
      <c r="AF239" s="449"/>
      <c r="AG239" s="450"/>
    </row>
    <row r="240" spans="1:33">
      <c r="A240" s="3" t="s">
        <v>247</v>
      </c>
      <c r="B240" s="2" t="s">
        <v>248</v>
      </c>
      <c r="C240" s="1"/>
      <c r="D240" s="62">
        <v>163286</v>
      </c>
      <c r="E240" s="62">
        <v>1</v>
      </c>
      <c r="F240" s="447">
        <f t="shared" si="16"/>
        <v>864022</v>
      </c>
      <c r="G240" s="448">
        <f t="shared" si="17"/>
        <v>871990</v>
      </c>
      <c r="H240" s="449">
        <v>808476</v>
      </c>
      <c r="I240" s="450">
        <v>807620</v>
      </c>
      <c r="J240" s="449">
        <v>15042</v>
      </c>
      <c r="K240" s="450">
        <v>16044</v>
      </c>
      <c r="L240" s="449">
        <v>39547</v>
      </c>
      <c r="M240" s="449">
        <v>957</v>
      </c>
      <c r="N240" s="449"/>
      <c r="O240" s="450">
        <v>47510</v>
      </c>
      <c r="P240" s="450">
        <v>816</v>
      </c>
      <c r="Q240" s="450"/>
      <c r="R240" s="449"/>
      <c r="S240" s="450">
        <v>0</v>
      </c>
      <c r="T240" s="447">
        <f t="shared" si="18"/>
        <v>159015</v>
      </c>
      <c r="U240" s="448">
        <f t="shared" si="19"/>
        <v>154217</v>
      </c>
      <c r="V240" s="449">
        <v>122367</v>
      </c>
      <c r="W240" s="450">
        <v>116229</v>
      </c>
      <c r="X240" s="449">
        <v>16914</v>
      </c>
      <c r="Y240" s="450">
        <v>17969</v>
      </c>
      <c r="Z240" s="449">
        <v>19226</v>
      </c>
      <c r="AA240" s="449">
        <v>508</v>
      </c>
      <c r="AB240" s="449">
        <v>0</v>
      </c>
      <c r="AC240" s="450">
        <v>19674</v>
      </c>
      <c r="AD240" s="450">
        <v>345</v>
      </c>
      <c r="AE240" s="450">
        <v>0</v>
      </c>
      <c r="AF240" s="449"/>
      <c r="AG240" s="450"/>
    </row>
    <row r="241" spans="1:33" s="27" customFormat="1" ht="12.75" customHeight="1">
      <c r="A241" s="3" t="s">
        <v>247</v>
      </c>
      <c r="B241" s="65" t="s">
        <v>256</v>
      </c>
      <c r="C241" s="66"/>
      <c r="D241" s="62">
        <v>163338</v>
      </c>
      <c r="E241" s="62">
        <v>4</v>
      </c>
      <c r="F241" s="447">
        <f t="shared" si="16"/>
        <v>78210</v>
      </c>
      <c r="G241" s="448">
        <f t="shared" si="17"/>
        <v>68761</v>
      </c>
      <c r="H241" s="449">
        <v>63022.5</v>
      </c>
      <c r="I241" s="450">
        <v>55630.5</v>
      </c>
      <c r="J241" s="449">
        <v>1590.5</v>
      </c>
      <c r="K241" s="450">
        <v>1098.5</v>
      </c>
      <c r="L241" s="449">
        <v>13597</v>
      </c>
      <c r="M241" s="449">
        <v>0</v>
      </c>
      <c r="N241" s="449"/>
      <c r="O241" s="450">
        <v>12032</v>
      </c>
      <c r="P241" s="450">
        <v>0</v>
      </c>
      <c r="Q241" s="450"/>
      <c r="R241" s="449"/>
      <c r="S241" s="450">
        <v>0</v>
      </c>
      <c r="T241" s="447">
        <f t="shared" si="18"/>
        <v>16488.5</v>
      </c>
      <c r="U241" s="448">
        <f t="shared" si="19"/>
        <v>15411.5</v>
      </c>
      <c r="V241" s="449">
        <v>15276.5</v>
      </c>
      <c r="W241" s="450">
        <v>14367.5</v>
      </c>
      <c r="X241" s="449">
        <v>339</v>
      </c>
      <c r="Y241" s="450">
        <v>360</v>
      </c>
      <c r="Z241" s="449">
        <v>873</v>
      </c>
      <c r="AA241" s="449">
        <v>0</v>
      </c>
      <c r="AB241" s="449">
        <v>0</v>
      </c>
      <c r="AC241" s="450">
        <v>684</v>
      </c>
      <c r="AD241" s="450">
        <v>0</v>
      </c>
      <c r="AE241" s="450">
        <v>0</v>
      </c>
      <c r="AF241" s="449"/>
      <c r="AG241" s="450"/>
    </row>
    <row r="242" spans="1:33" s="27" customFormat="1" ht="15" customHeight="1">
      <c r="A242" s="3" t="s">
        <v>247</v>
      </c>
      <c r="B242" s="2" t="s">
        <v>807</v>
      </c>
      <c r="C242" s="1"/>
      <c r="D242" s="62">
        <v>163204</v>
      </c>
      <c r="E242" s="62">
        <v>15</v>
      </c>
      <c r="F242" s="447">
        <f t="shared" si="16"/>
        <v>822432</v>
      </c>
      <c r="G242" s="448">
        <f t="shared" si="17"/>
        <v>812451</v>
      </c>
      <c r="H242" s="449">
        <v>0</v>
      </c>
      <c r="I242" s="450">
        <v>0</v>
      </c>
      <c r="J242" s="449">
        <v>41711</v>
      </c>
      <c r="K242" s="450">
        <v>36867</v>
      </c>
      <c r="L242" s="449">
        <v>780721</v>
      </c>
      <c r="M242" s="449">
        <v>0</v>
      </c>
      <c r="N242" s="449"/>
      <c r="O242" s="450">
        <v>775584</v>
      </c>
      <c r="P242" s="450">
        <v>0</v>
      </c>
      <c r="Q242" s="450"/>
      <c r="R242" s="449"/>
      <c r="S242" s="450">
        <v>0</v>
      </c>
      <c r="T242" s="447">
        <f t="shared" si="18"/>
        <v>208981</v>
      </c>
      <c r="U242" s="448">
        <f t="shared" si="19"/>
        <v>192417</v>
      </c>
      <c r="V242" s="449">
        <v>0</v>
      </c>
      <c r="W242" s="450">
        <v>0</v>
      </c>
      <c r="X242" s="449">
        <v>1686</v>
      </c>
      <c r="Y242" s="450">
        <v>2868</v>
      </c>
      <c r="Z242" s="449">
        <v>207295</v>
      </c>
      <c r="AA242" s="449">
        <v>0</v>
      </c>
      <c r="AB242" s="449">
        <v>0</v>
      </c>
      <c r="AC242" s="450">
        <v>189549</v>
      </c>
      <c r="AD242" s="450">
        <v>0</v>
      </c>
      <c r="AE242" s="450">
        <v>0</v>
      </c>
      <c r="AF242" s="449"/>
      <c r="AG242" s="450"/>
    </row>
    <row r="243" spans="1:33">
      <c r="A243" s="3" t="s">
        <v>247</v>
      </c>
      <c r="B243" s="2" t="s">
        <v>249</v>
      </c>
      <c r="C243" s="64"/>
      <c r="D243" s="62">
        <v>163453</v>
      </c>
      <c r="E243" s="62">
        <v>2</v>
      </c>
      <c r="F243" s="447">
        <f t="shared" si="16"/>
        <v>190281</v>
      </c>
      <c r="G243" s="448">
        <f t="shared" si="17"/>
        <v>184511</v>
      </c>
      <c r="H243" s="449">
        <v>176794</v>
      </c>
      <c r="I243" s="450">
        <v>163691</v>
      </c>
      <c r="J243" s="449">
        <v>48</v>
      </c>
      <c r="K243" s="450">
        <v>88</v>
      </c>
      <c r="L243" s="449">
        <v>13439</v>
      </c>
      <c r="M243" s="449">
        <v>0</v>
      </c>
      <c r="N243" s="449"/>
      <c r="O243" s="450">
        <v>20732</v>
      </c>
      <c r="P243" s="450">
        <v>0</v>
      </c>
      <c r="Q243" s="450"/>
      <c r="R243" s="449"/>
      <c r="S243" s="450">
        <v>0</v>
      </c>
      <c r="T243" s="447">
        <f t="shared" si="18"/>
        <v>24322</v>
      </c>
      <c r="U243" s="448">
        <f t="shared" si="19"/>
        <v>24608</v>
      </c>
      <c r="V243" s="449">
        <v>19122</v>
      </c>
      <c r="W243" s="450">
        <v>19131</v>
      </c>
      <c r="X243" s="449">
        <v>93</v>
      </c>
      <c r="Y243" s="450">
        <v>63</v>
      </c>
      <c r="Z243" s="449">
        <v>5107</v>
      </c>
      <c r="AA243" s="449">
        <v>0</v>
      </c>
      <c r="AB243" s="449">
        <v>0</v>
      </c>
      <c r="AC243" s="450">
        <v>5414</v>
      </c>
      <c r="AD243" s="450">
        <v>0</v>
      </c>
      <c r="AE243" s="450">
        <v>0</v>
      </c>
      <c r="AF243" s="449"/>
      <c r="AG243" s="450"/>
    </row>
    <row r="244" spans="1:33">
      <c r="A244" s="3" t="s">
        <v>247</v>
      </c>
      <c r="B244" s="2" t="s">
        <v>258</v>
      </c>
      <c r="C244" s="1"/>
      <c r="D244" s="62">
        <v>163912</v>
      </c>
      <c r="E244" s="62">
        <v>6</v>
      </c>
      <c r="F244" s="447">
        <f t="shared" si="16"/>
        <v>48085.5</v>
      </c>
      <c r="G244" s="448">
        <f t="shared" si="17"/>
        <v>46862</v>
      </c>
      <c r="H244" s="449">
        <v>48013.5</v>
      </c>
      <c r="I244" s="450">
        <v>46630</v>
      </c>
      <c r="J244" s="449">
        <v>0</v>
      </c>
      <c r="K244" s="450">
        <v>0</v>
      </c>
      <c r="L244" s="449">
        <v>72</v>
      </c>
      <c r="M244" s="449">
        <v>0</v>
      </c>
      <c r="N244" s="449"/>
      <c r="O244" s="450">
        <v>232</v>
      </c>
      <c r="P244" s="450">
        <v>0</v>
      </c>
      <c r="Q244" s="450"/>
      <c r="R244" s="449"/>
      <c r="S244" s="450">
        <v>0</v>
      </c>
      <c r="T244" s="447">
        <f t="shared" si="18"/>
        <v>1333</v>
      </c>
      <c r="U244" s="448">
        <f t="shared" si="19"/>
        <v>1122</v>
      </c>
      <c r="V244" s="449">
        <v>1333</v>
      </c>
      <c r="W244" s="450">
        <v>1122</v>
      </c>
      <c r="X244" s="449">
        <v>0</v>
      </c>
      <c r="Y244" s="450">
        <v>0</v>
      </c>
      <c r="Z244" s="449">
        <v>0</v>
      </c>
      <c r="AA244" s="449">
        <v>0</v>
      </c>
      <c r="AB244" s="449">
        <v>0</v>
      </c>
      <c r="AC244" s="450">
        <v>0</v>
      </c>
      <c r="AD244" s="450">
        <v>0</v>
      </c>
      <c r="AE244" s="450">
        <v>0</v>
      </c>
      <c r="AF244" s="449"/>
      <c r="AG244" s="450"/>
    </row>
    <row r="245" spans="1:33" s="27" customFormat="1" ht="12.75" customHeight="1">
      <c r="A245" s="67" t="s">
        <v>276</v>
      </c>
      <c r="B245" s="68" t="s">
        <v>277</v>
      </c>
      <c r="C245" s="69"/>
      <c r="D245" s="70">
        <v>176080</v>
      </c>
      <c r="E245" s="70">
        <v>1</v>
      </c>
      <c r="F245" s="447">
        <f t="shared" si="16"/>
        <v>523164</v>
      </c>
      <c r="G245" s="448">
        <f t="shared" si="17"/>
        <v>538054</v>
      </c>
      <c r="H245" s="449">
        <v>476961</v>
      </c>
      <c r="I245" s="450">
        <v>486740</v>
      </c>
      <c r="J245" s="449">
        <v>9739</v>
      </c>
      <c r="K245" s="450">
        <v>8441</v>
      </c>
      <c r="L245" s="449">
        <v>35692</v>
      </c>
      <c r="M245" s="449">
        <v>766</v>
      </c>
      <c r="N245" s="449">
        <v>6</v>
      </c>
      <c r="O245" s="450">
        <v>42532</v>
      </c>
      <c r="P245" s="450">
        <v>339</v>
      </c>
      <c r="Q245" s="450"/>
      <c r="R245" s="449"/>
      <c r="S245" s="450">
        <v>2</v>
      </c>
      <c r="T245" s="447">
        <f t="shared" si="18"/>
        <v>54777</v>
      </c>
      <c r="U245" s="448">
        <f t="shared" si="19"/>
        <v>54242</v>
      </c>
      <c r="V245" s="449">
        <v>38261</v>
      </c>
      <c r="W245" s="450">
        <v>36980</v>
      </c>
      <c r="X245" s="449">
        <v>1970</v>
      </c>
      <c r="Y245" s="450">
        <v>1943</v>
      </c>
      <c r="Z245" s="449">
        <v>14119</v>
      </c>
      <c r="AA245" s="449">
        <v>427</v>
      </c>
      <c r="AB245" s="449"/>
      <c r="AC245" s="450">
        <v>15047</v>
      </c>
      <c r="AD245" s="450">
        <v>272</v>
      </c>
      <c r="AE245" s="450"/>
      <c r="AF245" s="449"/>
      <c r="AG245" s="450"/>
    </row>
    <row r="246" spans="1:33" ht="14.5">
      <c r="A246" s="67" t="s">
        <v>276</v>
      </c>
      <c r="B246" s="68" t="s">
        <v>280</v>
      </c>
      <c r="C246" s="108"/>
      <c r="D246" s="70">
        <v>176017</v>
      </c>
      <c r="E246" s="70">
        <v>1</v>
      </c>
      <c r="F246" s="447">
        <f t="shared" si="16"/>
        <v>553585</v>
      </c>
      <c r="G246" s="448">
        <f t="shared" si="17"/>
        <v>530980</v>
      </c>
      <c r="H246" s="449">
        <v>440627</v>
      </c>
      <c r="I246" s="450">
        <v>408069</v>
      </c>
      <c r="J246" s="449">
        <v>31637</v>
      </c>
      <c r="K246" s="450">
        <v>30080</v>
      </c>
      <c r="L246" s="449">
        <v>66554</v>
      </c>
      <c r="M246" s="449">
        <v>10374</v>
      </c>
      <c r="N246" s="449"/>
      <c r="O246" s="450">
        <v>78296</v>
      </c>
      <c r="P246" s="450">
        <v>9305</v>
      </c>
      <c r="Q246" s="450"/>
      <c r="R246" s="449">
        <v>4393</v>
      </c>
      <c r="S246" s="450">
        <v>5230</v>
      </c>
      <c r="T246" s="447">
        <f t="shared" si="18"/>
        <v>67783</v>
      </c>
      <c r="U246" s="448">
        <f t="shared" si="19"/>
        <v>69659</v>
      </c>
      <c r="V246" s="449">
        <v>59273</v>
      </c>
      <c r="W246" s="450">
        <v>61177</v>
      </c>
      <c r="X246" s="449">
        <v>1230</v>
      </c>
      <c r="Y246" s="450">
        <v>712</v>
      </c>
      <c r="Z246" s="449">
        <v>6707</v>
      </c>
      <c r="AA246" s="449">
        <v>564</v>
      </c>
      <c r="AB246" s="449"/>
      <c r="AC246" s="450">
        <v>6822</v>
      </c>
      <c r="AD246" s="450">
        <v>864</v>
      </c>
      <c r="AE246" s="450"/>
      <c r="AF246" s="449">
        <v>9</v>
      </c>
      <c r="AG246" s="450">
        <v>84</v>
      </c>
    </row>
    <row r="247" spans="1:33" s="27" customFormat="1" ht="12.75" customHeight="1">
      <c r="A247" s="67" t="s">
        <v>276</v>
      </c>
      <c r="B247" s="68" t="s">
        <v>278</v>
      </c>
      <c r="C247" s="69"/>
      <c r="D247" s="70">
        <v>176372</v>
      </c>
      <c r="E247" s="70">
        <v>1</v>
      </c>
      <c r="F247" s="447">
        <f t="shared" si="16"/>
        <v>332678</v>
      </c>
      <c r="G247" s="448">
        <f t="shared" si="17"/>
        <v>333866</v>
      </c>
      <c r="H247" s="449">
        <v>209439</v>
      </c>
      <c r="I247" s="450">
        <v>204149</v>
      </c>
      <c r="J247" s="449">
        <v>26125</v>
      </c>
      <c r="K247" s="450">
        <v>22389</v>
      </c>
      <c r="L247" s="449">
        <v>94435</v>
      </c>
      <c r="M247" s="449">
        <v>2679</v>
      </c>
      <c r="N247" s="449"/>
      <c r="O247" s="450">
        <v>104430</v>
      </c>
      <c r="P247" s="450">
        <v>2898</v>
      </c>
      <c r="Q247" s="450"/>
      <c r="R247" s="449"/>
      <c r="S247" s="450"/>
      <c r="T247" s="447">
        <f t="shared" si="18"/>
        <v>51229</v>
      </c>
      <c r="U247" s="448">
        <f t="shared" si="19"/>
        <v>48532</v>
      </c>
      <c r="V247" s="449">
        <v>27400</v>
      </c>
      <c r="W247" s="450">
        <v>25910</v>
      </c>
      <c r="X247" s="449">
        <v>3733</v>
      </c>
      <c r="Y247" s="450">
        <v>3662</v>
      </c>
      <c r="Z247" s="449">
        <v>19172</v>
      </c>
      <c r="AA247" s="449">
        <v>877</v>
      </c>
      <c r="AB247" s="449"/>
      <c r="AC247" s="450">
        <v>18696</v>
      </c>
      <c r="AD247" s="450">
        <v>264</v>
      </c>
      <c r="AE247" s="450"/>
      <c r="AF247" s="449">
        <v>47</v>
      </c>
      <c r="AG247" s="450"/>
    </row>
    <row r="248" spans="1:33" s="27" customFormat="1" ht="13.5" customHeight="1">
      <c r="A248" s="67" t="s">
        <v>276</v>
      </c>
      <c r="B248" s="68" t="s">
        <v>279</v>
      </c>
      <c r="C248" s="69"/>
      <c r="D248" s="70">
        <v>175856</v>
      </c>
      <c r="E248" s="70">
        <v>2</v>
      </c>
      <c r="F248" s="447">
        <f t="shared" si="16"/>
        <v>151243</v>
      </c>
      <c r="G248" s="448">
        <f t="shared" si="17"/>
        <v>142216</v>
      </c>
      <c r="H248" s="449">
        <v>102015</v>
      </c>
      <c r="I248" s="450">
        <v>93305</v>
      </c>
      <c r="J248" s="449">
        <v>2493</v>
      </c>
      <c r="K248" s="450">
        <v>2755</v>
      </c>
      <c r="L248" s="449">
        <v>46735</v>
      </c>
      <c r="M248" s="449"/>
      <c r="N248" s="449"/>
      <c r="O248" s="450">
        <v>46156</v>
      </c>
      <c r="P248" s="450"/>
      <c r="Q248" s="450"/>
      <c r="R248" s="449"/>
      <c r="S248" s="450"/>
      <c r="T248" s="447">
        <f t="shared" si="18"/>
        <v>29347</v>
      </c>
      <c r="U248" s="448">
        <f t="shared" si="19"/>
        <v>29693</v>
      </c>
      <c r="V248" s="449">
        <v>9772</v>
      </c>
      <c r="W248" s="450">
        <v>8824</v>
      </c>
      <c r="X248" s="449">
        <v>5402</v>
      </c>
      <c r="Y248" s="450">
        <v>4805</v>
      </c>
      <c r="Z248" s="449">
        <v>14173</v>
      </c>
      <c r="AA248" s="449"/>
      <c r="AB248" s="449"/>
      <c r="AC248" s="450">
        <v>16064</v>
      </c>
      <c r="AD248" s="450"/>
      <c r="AE248" s="450"/>
      <c r="AF248" s="449"/>
      <c r="AG248" s="450"/>
    </row>
    <row r="249" spans="1:33" s="27" customFormat="1" ht="12.75" customHeight="1">
      <c r="A249" s="67" t="s">
        <v>276</v>
      </c>
      <c r="B249" s="68" t="s">
        <v>281</v>
      </c>
      <c r="C249" s="69"/>
      <c r="D249" s="70">
        <v>175342</v>
      </c>
      <c r="E249" s="70">
        <v>4</v>
      </c>
      <c r="F249" s="447">
        <f t="shared" si="16"/>
        <v>94590</v>
      </c>
      <c r="G249" s="448">
        <f t="shared" si="17"/>
        <v>92149</v>
      </c>
      <c r="H249" s="449">
        <v>62426</v>
      </c>
      <c r="I249" s="450">
        <v>57342</v>
      </c>
      <c r="J249" s="449">
        <v>1889</v>
      </c>
      <c r="K249" s="450">
        <v>2313</v>
      </c>
      <c r="L249" s="449">
        <v>30275</v>
      </c>
      <c r="M249" s="449"/>
      <c r="N249" s="449"/>
      <c r="O249" s="450">
        <v>32465</v>
      </c>
      <c r="P249" s="450"/>
      <c r="Q249" s="450">
        <v>29</v>
      </c>
      <c r="R249" s="449"/>
      <c r="S249" s="450"/>
      <c r="T249" s="447">
        <f t="shared" si="18"/>
        <v>8396</v>
      </c>
      <c r="U249" s="448">
        <f t="shared" si="19"/>
        <v>7708</v>
      </c>
      <c r="V249" s="449">
        <v>1680</v>
      </c>
      <c r="W249" s="450">
        <v>1093</v>
      </c>
      <c r="X249" s="449">
        <v>78</v>
      </c>
      <c r="Y249" s="450">
        <v>324</v>
      </c>
      <c r="Z249" s="449">
        <v>6638</v>
      </c>
      <c r="AA249" s="449"/>
      <c r="AB249" s="449"/>
      <c r="AC249" s="450">
        <v>6291</v>
      </c>
      <c r="AD249" s="450"/>
      <c r="AE249" s="450"/>
      <c r="AF249" s="449"/>
      <c r="AG249" s="450"/>
    </row>
    <row r="250" spans="1:33">
      <c r="A250" s="67" t="s">
        <v>276</v>
      </c>
      <c r="B250" s="68" t="s">
        <v>282</v>
      </c>
      <c r="C250" s="69"/>
      <c r="D250" s="70">
        <v>175616</v>
      </c>
      <c r="E250" s="70">
        <v>4</v>
      </c>
      <c r="F250" s="447">
        <f t="shared" si="16"/>
        <v>73075</v>
      </c>
      <c r="G250" s="448">
        <f t="shared" si="17"/>
        <v>73223</v>
      </c>
      <c r="H250" s="449">
        <v>52305</v>
      </c>
      <c r="I250" s="450">
        <v>49459</v>
      </c>
      <c r="J250" s="449">
        <v>6017</v>
      </c>
      <c r="K250" s="450">
        <v>7184</v>
      </c>
      <c r="L250" s="449">
        <v>14741</v>
      </c>
      <c r="M250" s="449"/>
      <c r="N250" s="449">
        <v>12</v>
      </c>
      <c r="O250" s="450">
        <v>16577</v>
      </c>
      <c r="P250" s="450" t="s">
        <v>581</v>
      </c>
      <c r="Q250" s="450">
        <v>3</v>
      </c>
      <c r="R250" s="449"/>
      <c r="S250" s="450"/>
      <c r="T250" s="447">
        <f t="shared" si="18"/>
        <v>21387</v>
      </c>
      <c r="U250" s="448">
        <f t="shared" si="19"/>
        <v>15719</v>
      </c>
      <c r="V250" s="449">
        <v>2780</v>
      </c>
      <c r="W250" s="450">
        <v>2523</v>
      </c>
      <c r="X250" s="449">
        <v>0</v>
      </c>
      <c r="Y250" s="450">
        <v>9</v>
      </c>
      <c r="Z250" s="449">
        <v>18580</v>
      </c>
      <c r="AA250" s="449"/>
      <c r="AB250" s="449">
        <v>27</v>
      </c>
      <c r="AC250" s="450">
        <v>13172</v>
      </c>
      <c r="AD250" s="450"/>
      <c r="AE250" s="450">
        <v>15</v>
      </c>
      <c r="AF250" s="449"/>
      <c r="AG250" s="450"/>
    </row>
    <row r="251" spans="1:33" s="27" customFormat="1" ht="15" customHeight="1">
      <c r="A251" s="67" t="s">
        <v>276</v>
      </c>
      <c r="B251" s="68" t="s">
        <v>283</v>
      </c>
      <c r="C251" s="69"/>
      <c r="D251" s="70">
        <v>176044</v>
      </c>
      <c r="E251" s="70">
        <v>4</v>
      </c>
      <c r="F251" s="447">
        <f t="shared" si="16"/>
        <v>51043</v>
      </c>
      <c r="G251" s="448">
        <f t="shared" si="17"/>
        <v>47617.7</v>
      </c>
      <c r="H251" s="449">
        <v>41513</v>
      </c>
      <c r="I251" s="450">
        <v>33847</v>
      </c>
      <c r="J251" s="449">
        <v>270</v>
      </c>
      <c r="K251" s="450">
        <v>146.69999999999999</v>
      </c>
      <c r="L251" s="449">
        <v>8366</v>
      </c>
      <c r="M251" s="449"/>
      <c r="N251" s="449"/>
      <c r="O251" s="450">
        <v>12796</v>
      </c>
      <c r="P251" s="450"/>
      <c r="Q251" s="450"/>
      <c r="R251" s="449">
        <v>894</v>
      </c>
      <c r="S251" s="450">
        <v>828</v>
      </c>
      <c r="T251" s="447">
        <f t="shared" si="18"/>
        <v>5771</v>
      </c>
      <c r="U251" s="448">
        <f t="shared" si="19"/>
        <v>4978</v>
      </c>
      <c r="V251" s="449">
        <v>2636</v>
      </c>
      <c r="W251" s="450">
        <v>1690</v>
      </c>
      <c r="X251" s="449">
        <v>0</v>
      </c>
      <c r="Y251" s="450">
        <v>0</v>
      </c>
      <c r="Z251" s="449">
        <v>3054</v>
      </c>
      <c r="AA251" s="449"/>
      <c r="AB251" s="449"/>
      <c r="AC251" s="450">
        <v>3237</v>
      </c>
      <c r="AD251" s="450"/>
      <c r="AE251" s="450"/>
      <c r="AF251" s="449">
        <v>81</v>
      </c>
      <c r="AG251" s="450">
        <v>51</v>
      </c>
    </row>
    <row r="252" spans="1:33">
      <c r="A252" s="107" t="s">
        <v>276</v>
      </c>
      <c r="B252" s="68" t="s">
        <v>284</v>
      </c>
      <c r="C252" s="133" t="s">
        <v>788</v>
      </c>
      <c r="D252" s="70">
        <v>176035</v>
      </c>
      <c r="E252" s="132">
        <v>4</v>
      </c>
      <c r="F252" s="447">
        <f t="shared" si="16"/>
        <v>70436</v>
      </c>
      <c r="G252" s="448">
        <f t="shared" si="17"/>
        <v>71868</v>
      </c>
      <c r="H252" s="449">
        <v>33297</v>
      </c>
      <c r="I252" s="450">
        <v>31594</v>
      </c>
      <c r="J252" s="449">
        <v>168</v>
      </c>
      <c r="K252" s="450">
        <v>86</v>
      </c>
      <c r="L252" s="449">
        <v>36971</v>
      </c>
      <c r="M252" s="449"/>
      <c r="N252" s="449"/>
      <c r="O252" s="450">
        <v>40188</v>
      </c>
      <c r="P252" s="450"/>
      <c r="Q252" s="450"/>
      <c r="R252" s="449"/>
      <c r="S252" s="450"/>
      <c r="T252" s="447">
        <f t="shared" si="18"/>
        <v>4376</v>
      </c>
      <c r="U252" s="448">
        <f t="shared" si="19"/>
        <v>4550</v>
      </c>
      <c r="V252" s="449">
        <v>2484</v>
      </c>
      <c r="W252" s="450">
        <v>2435</v>
      </c>
      <c r="X252" s="449">
        <v>192</v>
      </c>
      <c r="Y252" s="450">
        <v>0</v>
      </c>
      <c r="Z252" s="449">
        <v>1700</v>
      </c>
      <c r="AA252" s="449"/>
      <c r="AB252" s="449"/>
      <c r="AC252" s="450">
        <v>2115</v>
      </c>
      <c r="AD252" s="450"/>
      <c r="AE252" s="450"/>
      <c r="AF252" s="449"/>
      <c r="AG252" s="450"/>
    </row>
    <row r="253" spans="1:33">
      <c r="A253" s="109" t="s">
        <v>276</v>
      </c>
      <c r="B253" s="72" t="s">
        <v>285</v>
      </c>
      <c r="C253" s="73"/>
      <c r="D253" s="110">
        <v>175786</v>
      </c>
      <c r="E253" s="111">
        <v>8</v>
      </c>
      <c r="F253" s="447">
        <f t="shared" si="16"/>
        <v>291212</v>
      </c>
      <c r="G253" s="448">
        <f t="shared" si="17"/>
        <v>127803</v>
      </c>
      <c r="H253" s="449">
        <v>208823</v>
      </c>
      <c r="I253" s="450">
        <v>121326</v>
      </c>
      <c r="J253" s="449">
        <v>16248</v>
      </c>
      <c r="K253" s="468">
        <v>6477</v>
      </c>
      <c r="L253" s="449">
        <v>66141</v>
      </c>
      <c r="M253" s="449"/>
      <c r="N253" s="449"/>
      <c r="O253" s="468"/>
      <c r="P253" s="450"/>
      <c r="Q253" s="450"/>
      <c r="R253" s="449"/>
      <c r="S253" s="450"/>
      <c r="T253" s="447">
        <f t="shared" si="18"/>
        <v>0</v>
      </c>
      <c r="U253" s="448">
        <f t="shared" si="19"/>
        <v>0</v>
      </c>
      <c r="V253" s="449"/>
      <c r="W253" s="450"/>
      <c r="X253" s="449"/>
      <c r="Y253" s="450"/>
      <c r="Z253" s="449"/>
      <c r="AA253" s="449"/>
      <c r="AB253" s="449"/>
      <c r="AC253" s="450"/>
      <c r="AD253" s="450"/>
      <c r="AE253" s="450"/>
      <c r="AF253" s="449"/>
      <c r="AG253" s="450"/>
    </row>
    <row r="254" spans="1:33" s="27" customFormat="1" ht="12.75" customHeight="1">
      <c r="A254" s="109" t="s">
        <v>276</v>
      </c>
      <c r="B254" s="72" t="s">
        <v>292</v>
      </c>
      <c r="C254" s="76"/>
      <c r="D254" s="110">
        <v>175810</v>
      </c>
      <c r="E254" s="111">
        <v>8</v>
      </c>
      <c r="F254" s="447">
        <f t="shared" si="16"/>
        <v>159656</v>
      </c>
      <c r="G254" s="448">
        <f t="shared" si="17"/>
        <v>55181</v>
      </c>
      <c r="H254" s="449">
        <v>91344</v>
      </c>
      <c r="I254" s="450">
        <v>51866</v>
      </c>
      <c r="J254" s="449">
        <v>6092</v>
      </c>
      <c r="K254" s="450">
        <v>3315</v>
      </c>
      <c r="L254" s="449">
        <v>62220</v>
      </c>
      <c r="M254" s="449"/>
      <c r="N254" s="449"/>
      <c r="O254" s="468"/>
      <c r="P254" s="450"/>
      <c r="Q254" s="450"/>
      <c r="R254" s="449"/>
      <c r="S254" s="450"/>
      <c r="T254" s="447">
        <f t="shared" si="18"/>
        <v>0</v>
      </c>
      <c r="U254" s="448">
        <f t="shared" si="19"/>
        <v>0</v>
      </c>
      <c r="V254" s="449"/>
      <c r="W254" s="450"/>
      <c r="X254" s="449"/>
      <c r="Y254" s="450"/>
      <c r="Z254" s="449"/>
      <c r="AA254" s="449"/>
      <c r="AB254" s="449"/>
      <c r="AC254" s="450"/>
      <c r="AD254" s="450"/>
      <c r="AE254" s="450"/>
      <c r="AF254" s="449"/>
      <c r="AG254" s="450"/>
    </row>
    <row r="255" spans="1:33">
      <c r="A255" s="109" t="s">
        <v>276</v>
      </c>
      <c r="B255" s="72" t="s">
        <v>286</v>
      </c>
      <c r="C255" s="76" t="s">
        <v>801</v>
      </c>
      <c r="D255" s="110">
        <v>175829</v>
      </c>
      <c r="E255" s="470">
        <v>9</v>
      </c>
      <c r="F255" s="447">
        <f t="shared" si="16"/>
        <v>139081</v>
      </c>
      <c r="G255" s="448">
        <f t="shared" si="17"/>
        <v>46521</v>
      </c>
      <c r="H255" s="449">
        <v>85041</v>
      </c>
      <c r="I255" s="450">
        <v>43980</v>
      </c>
      <c r="J255" s="449">
        <v>4532</v>
      </c>
      <c r="K255" s="450">
        <v>2541</v>
      </c>
      <c r="L255" s="449">
        <v>49508</v>
      </c>
      <c r="M255" s="449"/>
      <c r="N255" s="449"/>
      <c r="O255" s="468"/>
      <c r="P255" s="450"/>
      <c r="Q255" s="450"/>
      <c r="R255" s="449"/>
      <c r="S255" s="450"/>
      <c r="T255" s="447">
        <f t="shared" si="18"/>
        <v>0</v>
      </c>
      <c r="U255" s="448">
        <f t="shared" si="19"/>
        <v>0</v>
      </c>
      <c r="V255" s="449"/>
      <c r="W255" s="450"/>
      <c r="X255" s="449"/>
      <c r="Y255" s="450"/>
      <c r="Z255" s="449"/>
      <c r="AA255" s="449"/>
      <c r="AB255" s="449"/>
      <c r="AC255" s="450"/>
      <c r="AD255" s="450"/>
      <c r="AE255" s="450"/>
      <c r="AF255" s="449"/>
      <c r="AG255" s="450"/>
    </row>
    <row r="256" spans="1:33" s="27" customFormat="1" ht="13.5" customHeight="1">
      <c r="A256" s="109" t="s">
        <v>276</v>
      </c>
      <c r="B256" s="72" t="s">
        <v>287</v>
      </c>
      <c r="C256" s="73"/>
      <c r="D256" s="110">
        <v>176071</v>
      </c>
      <c r="E256" s="74">
        <v>8</v>
      </c>
      <c r="F256" s="447">
        <f t="shared" si="16"/>
        <v>232689</v>
      </c>
      <c r="G256" s="448">
        <f t="shared" si="17"/>
        <v>93053</v>
      </c>
      <c r="H256" s="449">
        <v>145924</v>
      </c>
      <c r="I256" s="450">
        <v>82836</v>
      </c>
      <c r="J256" s="449">
        <v>19835</v>
      </c>
      <c r="K256" s="450">
        <v>10217</v>
      </c>
      <c r="L256" s="449">
        <v>66930</v>
      </c>
      <c r="M256" s="449"/>
      <c r="N256" s="449"/>
      <c r="O256" s="468"/>
      <c r="P256" s="450"/>
      <c r="Q256" s="450"/>
      <c r="R256" s="449"/>
      <c r="S256" s="450"/>
      <c r="T256" s="447">
        <f t="shared" si="18"/>
        <v>0</v>
      </c>
      <c r="U256" s="448">
        <f t="shared" si="19"/>
        <v>0</v>
      </c>
      <c r="V256" s="449"/>
      <c r="W256" s="450"/>
      <c r="X256" s="449"/>
      <c r="Y256" s="450"/>
      <c r="Z256" s="449"/>
      <c r="AA256" s="449"/>
      <c r="AB256" s="449"/>
      <c r="AC256" s="450"/>
      <c r="AD256" s="450"/>
      <c r="AE256" s="450"/>
      <c r="AF256" s="449"/>
      <c r="AG256" s="450"/>
    </row>
    <row r="257" spans="1:33">
      <c r="A257" s="109" t="s">
        <v>276</v>
      </c>
      <c r="B257" s="72" t="s">
        <v>288</v>
      </c>
      <c r="C257" s="73"/>
      <c r="D257" s="110">
        <v>176178</v>
      </c>
      <c r="E257" s="74">
        <v>8</v>
      </c>
      <c r="F257" s="447">
        <f t="shared" si="16"/>
        <v>186760</v>
      </c>
      <c r="G257" s="448">
        <f t="shared" si="17"/>
        <v>82976</v>
      </c>
      <c r="H257" s="449">
        <v>141544</v>
      </c>
      <c r="I257" s="450">
        <v>82976</v>
      </c>
      <c r="J257" s="449">
        <v>5204</v>
      </c>
      <c r="K257" s="468">
        <v>0</v>
      </c>
      <c r="L257" s="449">
        <v>40012</v>
      </c>
      <c r="M257" s="449"/>
      <c r="N257" s="449"/>
      <c r="O257" s="468"/>
      <c r="P257" s="450"/>
      <c r="Q257" s="450"/>
      <c r="R257" s="449"/>
      <c r="S257" s="450"/>
      <c r="T257" s="447">
        <f t="shared" si="18"/>
        <v>0</v>
      </c>
      <c r="U257" s="448">
        <f t="shared" si="19"/>
        <v>0</v>
      </c>
      <c r="V257" s="449"/>
      <c r="W257" s="450"/>
      <c r="X257" s="449"/>
      <c r="Y257" s="450"/>
      <c r="Z257" s="449"/>
      <c r="AA257" s="449"/>
      <c r="AB257" s="449"/>
      <c r="AC257" s="450"/>
      <c r="AD257" s="450"/>
      <c r="AE257" s="450"/>
      <c r="AF257" s="449"/>
      <c r="AG257" s="450"/>
    </row>
    <row r="258" spans="1:33">
      <c r="A258" s="109" t="s">
        <v>276</v>
      </c>
      <c r="B258" s="72" t="s">
        <v>289</v>
      </c>
      <c r="C258" s="73"/>
      <c r="D258" s="110">
        <v>175573</v>
      </c>
      <c r="E258" s="111">
        <v>9</v>
      </c>
      <c r="F258" s="447">
        <f t="shared" si="16"/>
        <v>79307</v>
      </c>
      <c r="G258" s="448">
        <f t="shared" si="17"/>
        <v>28916</v>
      </c>
      <c r="H258" s="449">
        <v>48132</v>
      </c>
      <c r="I258" s="450">
        <v>26413</v>
      </c>
      <c r="J258" s="449">
        <v>4137</v>
      </c>
      <c r="K258" s="450">
        <v>2503</v>
      </c>
      <c r="L258" s="449">
        <v>27038</v>
      </c>
      <c r="M258" s="449"/>
      <c r="N258" s="449"/>
      <c r="O258" s="468"/>
      <c r="P258" s="450"/>
      <c r="Q258" s="450"/>
      <c r="R258" s="449"/>
      <c r="S258" s="450"/>
      <c r="T258" s="447">
        <f t="shared" si="18"/>
        <v>0</v>
      </c>
      <c r="U258" s="448">
        <f t="shared" si="19"/>
        <v>0</v>
      </c>
      <c r="V258" s="449"/>
      <c r="W258" s="450"/>
      <c r="X258" s="449"/>
      <c r="Y258" s="450"/>
      <c r="Z258" s="449"/>
      <c r="AA258" s="449"/>
      <c r="AB258" s="449"/>
      <c r="AC258" s="450"/>
      <c r="AD258" s="450"/>
      <c r="AE258" s="450"/>
      <c r="AF258" s="449"/>
      <c r="AG258" s="450"/>
    </row>
    <row r="259" spans="1:33">
      <c r="A259" s="109" t="s">
        <v>276</v>
      </c>
      <c r="B259" s="72" t="s">
        <v>290</v>
      </c>
      <c r="C259" s="73"/>
      <c r="D259" s="110">
        <v>175643</v>
      </c>
      <c r="E259" s="74">
        <v>9</v>
      </c>
      <c r="F259" s="447">
        <f t="shared" si="16"/>
        <v>70571</v>
      </c>
      <c r="G259" s="448">
        <f t="shared" si="17"/>
        <v>25276</v>
      </c>
      <c r="H259" s="449">
        <v>44527</v>
      </c>
      <c r="I259" s="450">
        <v>22911</v>
      </c>
      <c r="J259" s="449">
        <v>4672</v>
      </c>
      <c r="K259" s="450">
        <v>2365</v>
      </c>
      <c r="L259" s="449">
        <v>21372</v>
      </c>
      <c r="M259" s="449"/>
      <c r="N259" s="449"/>
      <c r="O259" s="468"/>
      <c r="P259" s="450"/>
      <c r="Q259" s="450"/>
      <c r="R259" s="449"/>
      <c r="S259" s="450"/>
      <c r="T259" s="447">
        <f t="shared" si="18"/>
        <v>0</v>
      </c>
      <c r="U259" s="448">
        <f t="shared" si="19"/>
        <v>0</v>
      </c>
      <c r="V259" s="449"/>
      <c r="W259" s="450"/>
      <c r="X259" s="449"/>
      <c r="Y259" s="450"/>
      <c r="Z259" s="449"/>
      <c r="AA259" s="449"/>
      <c r="AB259" s="449"/>
      <c r="AC259" s="450"/>
      <c r="AD259" s="450"/>
      <c r="AE259" s="450"/>
      <c r="AF259" s="449"/>
      <c r="AG259" s="450"/>
    </row>
    <row r="260" spans="1:33">
      <c r="A260" s="109" t="s">
        <v>276</v>
      </c>
      <c r="B260" s="72" t="s">
        <v>291</v>
      </c>
      <c r="C260" s="73"/>
      <c r="D260" s="110">
        <v>175652</v>
      </c>
      <c r="E260" s="74">
        <v>9</v>
      </c>
      <c r="F260" s="447">
        <f t="shared" si="16"/>
        <v>105233</v>
      </c>
      <c r="G260" s="448">
        <f t="shared" si="17"/>
        <v>30501</v>
      </c>
      <c r="H260" s="449">
        <v>69637</v>
      </c>
      <c r="I260" s="468">
        <v>29642</v>
      </c>
      <c r="J260" s="449">
        <v>2101</v>
      </c>
      <c r="K260" s="468">
        <v>859</v>
      </c>
      <c r="L260" s="449">
        <v>33495</v>
      </c>
      <c r="M260" s="449"/>
      <c r="N260" s="449"/>
      <c r="O260" s="468"/>
      <c r="P260" s="450"/>
      <c r="Q260" s="450"/>
      <c r="R260" s="449"/>
      <c r="S260" s="450"/>
      <c r="T260" s="447">
        <f t="shared" si="18"/>
        <v>0</v>
      </c>
      <c r="U260" s="448">
        <f t="shared" si="19"/>
        <v>0</v>
      </c>
      <c r="V260" s="449"/>
      <c r="W260" s="450"/>
      <c r="X260" s="449"/>
      <c r="Y260" s="450"/>
      <c r="Z260" s="449"/>
      <c r="AA260" s="449"/>
      <c r="AB260" s="449"/>
      <c r="AC260" s="450"/>
      <c r="AD260" s="450"/>
      <c r="AE260" s="450"/>
      <c r="AF260" s="449"/>
      <c r="AG260" s="450"/>
    </row>
    <row r="261" spans="1:33">
      <c r="A261" s="109" t="s">
        <v>276</v>
      </c>
      <c r="B261" s="72" t="s">
        <v>293</v>
      </c>
      <c r="C261" s="73"/>
      <c r="D261" s="110">
        <v>175883</v>
      </c>
      <c r="E261" s="74">
        <v>9</v>
      </c>
      <c r="F261" s="447">
        <f t="shared" si="16"/>
        <v>126908</v>
      </c>
      <c r="G261" s="448">
        <f t="shared" si="17"/>
        <v>56058</v>
      </c>
      <c r="H261" s="449">
        <v>98377</v>
      </c>
      <c r="I261" s="450">
        <v>56058</v>
      </c>
      <c r="J261" s="449">
        <v>0</v>
      </c>
      <c r="K261" s="450">
        <v>0</v>
      </c>
      <c r="L261" s="449">
        <v>28531</v>
      </c>
      <c r="M261" s="449"/>
      <c r="N261" s="449"/>
      <c r="O261" s="468"/>
      <c r="P261" s="450"/>
      <c r="Q261" s="450"/>
      <c r="R261" s="449"/>
      <c r="S261" s="450"/>
      <c r="T261" s="447">
        <f t="shared" si="18"/>
        <v>0</v>
      </c>
      <c r="U261" s="448">
        <f t="shared" si="19"/>
        <v>0</v>
      </c>
      <c r="V261" s="449"/>
      <c r="W261" s="450"/>
      <c r="X261" s="449"/>
      <c r="Y261" s="450"/>
      <c r="Z261" s="449"/>
      <c r="AA261" s="449"/>
      <c r="AB261" s="449"/>
      <c r="AC261" s="450"/>
      <c r="AD261" s="450"/>
      <c r="AE261" s="450"/>
      <c r="AF261" s="449"/>
      <c r="AG261" s="450"/>
    </row>
    <row r="262" spans="1:33">
      <c r="A262" s="109" t="s">
        <v>276</v>
      </c>
      <c r="B262" s="72" t="s">
        <v>294</v>
      </c>
      <c r="C262" s="73"/>
      <c r="D262" s="110">
        <v>175935</v>
      </c>
      <c r="E262" s="74">
        <v>9</v>
      </c>
      <c r="F262" s="447">
        <f t="shared" si="16"/>
        <v>88357</v>
      </c>
      <c r="G262" s="448">
        <f t="shared" si="17"/>
        <v>36823</v>
      </c>
      <c r="H262" s="449">
        <v>67885</v>
      </c>
      <c r="I262" s="450">
        <v>36199</v>
      </c>
      <c r="J262" s="449">
        <v>1230</v>
      </c>
      <c r="K262" s="450">
        <v>624</v>
      </c>
      <c r="L262" s="449">
        <v>19242</v>
      </c>
      <c r="M262" s="449"/>
      <c r="N262" s="449"/>
      <c r="O262" s="468"/>
      <c r="P262" s="450"/>
      <c r="Q262" s="450"/>
      <c r="R262" s="449"/>
      <c r="S262" s="450"/>
      <c r="T262" s="447">
        <f t="shared" si="18"/>
        <v>0</v>
      </c>
      <c r="U262" s="448">
        <f t="shared" si="19"/>
        <v>0</v>
      </c>
      <c r="V262" s="449"/>
      <c r="W262" s="450"/>
      <c r="X262" s="449"/>
      <c r="Y262" s="450"/>
      <c r="Z262" s="449"/>
      <c r="AA262" s="449"/>
      <c r="AB262" s="449"/>
      <c r="AC262" s="450"/>
      <c r="AD262" s="450"/>
      <c r="AE262" s="450"/>
      <c r="AF262" s="449"/>
      <c r="AG262" s="450"/>
    </row>
    <row r="263" spans="1:33">
      <c r="A263" s="109" t="s">
        <v>276</v>
      </c>
      <c r="B263" s="72" t="s">
        <v>295</v>
      </c>
      <c r="C263" s="73"/>
      <c r="D263" s="110">
        <v>176008</v>
      </c>
      <c r="E263" s="74">
        <v>9</v>
      </c>
      <c r="F263" s="447">
        <f t="shared" si="16"/>
        <v>63837</v>
      </c>
      <c r="G263" s="448">
        <f t="shared" si="17"/>
        <v>30695</v>
      </c>
      <c r="H263" s="449">
        <v>46100</v>
      </c>
      <c r="I263" s="450">
        <v>27085</v>
      </c>
      <c r="J263" s="449">
        <v>5814</v>
      </c>
      <c r="K263" s="450">
        <v>3610</v>
      </c>
      <c r="L263" s="449">
        <v>11923</v>
      </c>
      <c r="M263" s="449"/>
      <c r="N263" s="449"/>
      <c r="O263" s="468"/>
      <c r="P263" s="450"/>
      <c r="Q263" s="450"/>
      <c r="R263" s="449"/>
      <c r="S263" s="450"/>
      <c r="T263" s="447">
        <f t="shared" si="18"/>
        <v>0</v>
      </c>
      <c r="U263" s="448">
        <f t="shared" si="19"/>
        <v>0</v>
      </c>
      <c r="V263" s="449"/>
      <c r="W263" s="450"/>
      <c r="X263" s="449"/>
      <c r="Y263" s="450"/>
      <c r="Z263" s="449"/>
      <c r="AA263" s="449"/>
      <c r="AB263" s="449"/>
      <c r="AC263" s="450"/>
      <c r="AD263" s="450"/>
      <c r="AE263" s="450"/>
      <c r="AF263" s="449"/>
      <c r="AG263" s="450"/>
    </row>
    <row r="264" spans="1:33">
      <c r="A264" s="109" t="s">
        <v>276</v>
      </c>
      <c r="B264" s="72" t="s">
        <v>296</v>
      </c>
      <c r="C264" s="73"/>
      <c r="D264" s="110">
        <v>176169</v>
      </c>
      <c r="E264" s="74">
        <v>9</v>
      </c>
      <c r="F264" s="447">
        <f t="shared" si="16"/>
        <v>91958</v>
      </c>
      <c r="G264" s="448">
        <f t="shared" si="17"/>
        <v>32824</v>
      </c>
      <c r="H264" s="449">
        <v>65657</v>
      </c>
      <c r="I264" s="468">
        <v>32824</v>
      </c>
      <c r="J264" s="449">
        <v>0</v>
      </c>
      <c r="K264" s="450">
        <v>0</v>
      </c>
      <c r="L264" s="449">
        <v>26301</v>
      </c>
      <c r="M264" s="449"/>
      <c r="N264" s="449"/>
      <c r="O264" s="468"/>
      <c r="P264" s="450"/>
      <c r="Q264" s="450"/>
      <c r="R264" s="449"/>
      <c r="S264" s="450"/>
      <c r="T264" s="447">
        <f t="shared" si="18"/>
        <v>0</v>
      </c>
      <c r="U264" s="448">
        <f t="shared" si="19"/>
        <v>0</v>
      </c>
      <c r="V264" s="449"/>
      <c r="W264" s="450"/>
      <c r="X264" s="449"/>
      <c r="Y264" s="450"/>
      <c r="Z264" s="449"/>
      <c r="AA264" s="449"/>
      <c r="AB264" s="449"/>
      <c r="AC264" s="450"/>
      <c r="AD264" s="450"/>
      <c r="AE264" s="450"/>
      <c r="AF264" s="449"/>
      <c r="AG264" s="450"/>
    </row>
    <row r="265" spans="1:33">
      <c r="A265" s="109" t="s">
        <v>276</v>
      </c>
      <c r="B265" s="72" t="s">
        <v>297</v>
      </c>
      <c r="C265" s="73"/>
      <c r="D265" s="110">
        <v>176239</v>
      </c>
      <c r="E265" s="111">
        <v>9</v>
      </c>
      <c r="F265" s="447">
        <f t="shared" si="16"/>
        <v>126640</v>
      </c>
      <c r="G265" s="448">
        <f t="shared" si="17"/>
        <v>51085</v>
      </c>
      <c r="H265" s="449">
        <v>93459</v>
      </c>
      <c r="I265" s="450">
        <v>49728</v>
      </c>
      <c r="J265" s="449">
        <v>3402</v>
      </c>
      <c r="K265" s="468">
        <v>1357</v>
      </c>
      <c r="L265" s="449">
        <v>29779</v>
      </c>
      <c r="M265" s="449"/>
      <c r="N265" s="449"/>
      <c r="O265" s="468"/>
      <c r="P265" s="450"/>
      <c r="Q265" s="450"/>
      <c r="R265" s="449"/>
      <c r="S265" s="450"/>
      <c r="T265" s="447">
        <f t="shared" si="18"/>
        <v>0</v>
      </c>
      <c r="U265" s="448">
        <f t="shared" si="19"/>
        <v>0</v>
      </c>
      <c r="V265" s="449"/>
      <c r="W265" s="450"/>
      <c r="X265" s="449"/>
      <c r="Y265" s="450"/>
      <c r="Z265" s="449"/>
      <c r="AA265" s="449"/>
      <c r="AB265" s="449"/>
      <c r="AC265" s="450"/>
      <c r="AD265" s="450"/>
      <c r="AE265" s="450"/>
      <c r="AF265" s="449"/>
      <c r="AG265" s="450"/>
    </row>
    <row r="266" spans="1:33">
      <c r="A266" s="109" t="s">
        <v>276</v>
      </c>
      <c r="B266" s="72" t="s">
        <v>298</v>
      </c>
      <c r="C266" s="73"/>
      <c r="D266" s="110">
        <v>175519</v>
      </c>
      <c r="E266" s="74">
        <v>10</v>
      </c>
      <c r="F266" s="447">
        <f t="shared" si="16"/>
        <v>49683</v>
      </c>
      <c r="G266" s="448">
        <f t="shared" si="17"/>
        <v>22727</v>
      </c>
      <c r="H266" s="449">
        <v>38426</v>
      </c>
      <c r="I266" s="450">
        <v>22428</v>
      </c>
      <c r="J266" s="449">
        <v>380</v>
      </c>
      <c r="K266" s="450">
        <v>299</v>
      </c>
      <c r="L266" s="449">
        <v>10877</v>
      </c>
      <c r="M266" s="449"/>
      <c r="N266" s="449"/>
      <c r="O266" s="468"/>
      <c r="P266" s="450"/>
      <c r="Q266" s="450"/>
      <c r="R266" s="449"/>
      <c r="S266" s="450"/>
      <c r="T266" s="447">
        <f t="shared" si="18"/>
        <v>0</v>
      </c>
      <c r="U266" s="448">
        <f t="shared" si="19"/>
        <v>0</v>
      </c>
      <c r="V266" s="449"/>
      <c r="W266" s="450"/>
      <c r="X266" s="449"/>
      <c r="Y266" s="450"/>
      <c r="Z266" s="449"/>
      <c r="AA266" s="449"/>
      <c r="AB266" s="449"/>
      <c r="AC266" s="450"/>
      <c r="AD266" s="450"/>
      <c r="AE266" s="450"/>
      <c r="AF266" s="449"/>
      <c r="AG266" s="450"/>
    </row>
    <row r="267" spans="1:33">
      <c r="A267" s="109" t="s">
        <v>276</v>
      </c>
      <c r="B267" s="72" t="s">
        <v>299</v>
      </c>
      <c r="C267" s="73"/>
      <c r="D267" s="110">
        <v>176354</v>
      </c>
      <c r="E267" s="74">
        <v>10</v>
      </c>
      <c r="F267" s="447">
        <f t="shared" si="16"/>
        <v>55751</v>
      </c>
      <c r="G267" s="448">
        <f t="shared" si="17"/>
        <v>20980</v>
      </c>
      <c r="H267" s="449">
        <v>40822</v>
      </c>
      <c r="I267" s="450">
        <v>20980</v>
      </c>
      <c r="J267" s="449">
        <v>0</v>
      </c>
      <c r="K267" s="450">
        <v>0</v>
      </c>
      <c r="L267" s="449">
        <v>14929</v>
      </c>
      <c r="M267" s="449"/>
      <c r="N267" s="449"/>
      <c r="O267" s="468"/>
      <c r="P267" s="450"/>
      <c r="Q267" s="450"/>
      <c r="R267" s="449"/>
      <c r="S267" s="450"/>
      <c r="T267" s="447">
        <f t="shared" si="18"/>
        <v>0</v>
      </c>
      <c r="U267" s="448">
        <f t="shared" si="19"/>
        <v>0</v>
      </c>
      <c r="V267" s="449"/>
      <c r="W267" s="450"/>
      <c r="X267" s="449"/>
      <c r="Y267" s="450"/>
      <c r="Z267" s="449"/>
      <c r="AA267" s="449"/>
      <c r="AB267" s="449"/>
      <c r="AC267" s="450"/>
      <c r="AD267" s="450"/>
      <c r="AE267" s="450"/>
      <c r="AF267" s="449"/>
      <c r="AG267" s="450"/>
    </row>
    <row r="268" spans="1:33">
      <c r="A268" s="112" t="s">
        <v>300</v>
      </c>
      <c r="B268" s="113" t="s">
        <v>301</v>
      </c>
      <c r="C268" s="114"/>
      <c r="D268" s="115">
        <v>199193</v>
      </c>
      <c r="E268" s="115">
        <v>1</v>
      </c>
      <c r="F268" s="447">
        <f t="shared" si="16"/>
        <v>710963</v>
      </c>
      <c r="G268" s="448">
        <f t="shared" si="17"/>
        <v>728588</v>
      </c>
      <c r="H268" s="449">
        <v>588781</v>
      </c>
      <c r="I268" s="450">
        <v>601662</v>
      </c>
      <c r="J268" s="449">
        <v>8711</v>
      </c>
      <c r="K268" s="450">
        <v>11489</v>
      </c>
      <c r="L268" s="449">
        <v>113471</v>
      </c>
      <c r="M268" s="449">
        <v>0</v>
      </c>
      <c r="N268" s="449">
        <v>0</v>
      </c>
      <c r="O268" s="450">
        <v>115437</v>
      </c>
      <c r="P268" s="450">
        <v>0</v>
      </c>
      <c r="Q268" s="450">
        <v>0</v>
      </c>
      <c r="R268" s="449"/>
      <c r="S268" s="450"/>
      <c r="T268" s="447">
        <f t="shared" si="18"/>
        <v>174078</v>
      </c>
      <c r="U268" s="448">
        <f t="shared" si="19"/>
        <v>174613.5</v>
      </c>
      <c r="V268" s="449">
        <v>135087</v>
      </c>
      <c r="W268" s="450">
        <v>133319.5</v>
      </c>
      <c r="X268" s="449">
        <v>5255</v>
      </c>
      <c r="Y268" s="450">
        <v>4070</v>
      </c>
      <c r="Z268" s="449">
        <v>33736</v>
      </c>
      <c r="AA268" s="449">
        <v>0</v>
      </c>
      <c r="AB268" s="449">
        <v>0</v>
      </c>
      <c r="AC268" s="450">
        <v>37224</v>
      </c>
      <c r="AD268" s="450">
        <v>0</v>
      </c>
      <c r="AE268" s="450">
        <v>0</v>
      </c>
      <c r="AF268" s="449"/>
      <c r="AG268" s="450"/>
    </row>
    <row r="269" spans="1:33">
      <c r="A269" s="112" t="s">
        <v>300</v>
      </c>
      <c r="B269" s="113" t="s">
        <v>302</v>
      </c>
      <c r="C269" s="114"/>
      <c r="D269" s="115">
        <v>199120</v>
      </c>
      <c r="E269" s="115">
        <v>1</v>
      </c>
      <c r="F269" s="447">
        <f t="shared" si="16"/>
        <v>542556</v>
      </c>
      <c r="G269" s="448">
        <f t="shared" si="17"/>
        <v>545593</v>
      </c>
      <c r="H269" s="449">
        <v>517394</v>
      </c>
      <c r="I269" s="450">
        <v>520370.5</v>
      </c>
      <c r="J269" s="449">
        <v>4931</v>
      </c>
      <c r="K269" s="450">
        <v>5593.5</v>
      </c>
      <c r="L269" s="449">
        <v>20231</v>
      </c>
      <c r="M269" s="449">
        <v>0</v>
      </c>
      <c r="N269" s="449">
        <v>0</v>
      </c>
      <c r="O269" s="450">
        <v>19629</v>
      </c>
      <c r="P269" s="450">
        <v>0</v>
      </c>
      <c r="Q269" s="450">
        <v>0</v>
      </c>
      <c r="R269" s="449"/>
      <c r="S269" s="450"/>
      <c r="T269" s="447">
        <f t="shared" si="18"/>
        <v>203046</v>
      </c>
      <c r="U269" s="448">
        <f t="shared" si="19"/>
        <v>197901.5</v>
      </c>
      <c r="V269" s="449">
        <v>174497</v>
      </c>
      <c r="W269" s="450">
        <v>171655</v>
      </c>
      <c r="X269" s="449">
        <v>1771</v>
      </c>
      <c r="Y269" s="450">
        <v>819</v>
      </c>
      <c r="Z269" s="449">
        <v>26697</v>
      </c>
      <c r="AA269" s="449">
        <v>81</v>
      </c>
      <c r="AB269" s="449">
        <v>0</v>
      </c>
      <c r="AC269" s="450">
        <v>25391.5</v>
      </c>
      <c r="AD269" s="450">
        <v>36</v>
      </c>
      <c r="AE269" s="450">
        <v>0</v>
      </c>
      <c r="AF269" s="449"/>
      <c r="AG269" s="450"/>
    </row>
    <row r="270" spans="1:33">
      <c r="A270" s="112" t="s">
        <v>300</v>
      </c>
      <c r="B270" s="113" t="s">
        <v>303</v>
      </c>
      <c r="C270" s="116"/>
      <c r="D270" s="115">
        <v>199139</v>
      </c>
      <c r="E270" s="115">
        <v>1</v>
      </c>
      <c r="F270" s="447">
        <f t="shared" si="16"/>
        <v>678454</v>
      </c>
      <c r="G270" s="448">
        <f t="shared" si="17"/>
        <v>682569</v>
      </c>
      <c r="H270" s="449">
        <v>583871</v>
      </c>
      <c r="I270" s="450">
        <v>582198</v>
      </c>
      <c r="J270" s="449">
        <v>0</v>
      </c>
      <c r="K270" s="450">
        <v>0</v>
      </c>
      <c r="L270" s="449">
        <v>94485</v>
      </c>
      <c r="M270" s="449">
        <v>98</v>
      </c>
      <c r="N270" s="449">
        <v>0</v>
      </c>
      <c r="O270" s="450">
        <v>100244</v>
      </c>
      <c r="P270" s="450">
        <v>127</v>
      </c>
      <c r="Q270" s="450">
        <v>0</v>
      </c>
      <c r="R270" s="449"/>
      <c r="S270" s="450"/>
      <c r="T270" s="447">
        <f t="shared" si="18"/>
        <v>86480</v>
      </c>
      <c r="U270" s="448">
        <f t="shared" si="19"/>
        <v>87196</v>
      </c>
      <c r="V270" s="449">
        <v>68247</v>
      </c>
      <c r="W270" s="450">
        <v>66366</v>
      </c>
      <c r="X270" s="449">
        <v>0</v>
      </c>
      <c r="Y270" s="450">
        <v>0</v>
      </c>
      <c r="Z270" s="449">
        <v>18215</v>
      </c>
      <c r="AA270" s="449">
        <v>18</v>
      </c>
      <c r="AB270" s="449">
        <v>0</v>
      </c>
      <c r="AC270" s="450">
        <v>20814</v>
      </c>
      <c r="AD270" s="450">
        <v>16</v>
      </c>
      <c r="AE270" s="450">
        <v>0</v>
      </c>
      <c r="AF270" s="449"/>
      <c r="AG270" s="450"/>
    </row>
    <row r="271" spans="1:33" s="27" customFormat="1" ht="13.9" customHeight="1">
      <c r="A271" s="112" t="s">
        <v>300</v>
      </c>
      <c r="B271" s="113" t="s">
        <v>304</v>
      </c>
      <c r="C271" s="114"/>
      <c r="D271" s="115">
        <v>199148</v>
      </c>
      <c r="E271" s="115">
        <v>1</v>
      </c>
      <c r="F271" s="447">
        <f t="shared" si="16"/>
        <v>465845</v>
      </c>
      <c r="G271" s="448">
        <f t="shared" si="17"/>
        <v>461447</v>
      </c>
      <c r="H271" s="449">
        <v>343758</v>
      </c>
      <c r="I271" s="450">
        <v>330797</v>
      </c>
      <c r="J271" s="449">
        <v>8276</v>
      </c>
      <c r="K271" s="450">
        <v>3788</v>
      </c>
      <c r="L271" s="449">
        <v>113739</v>
      </c>
      <c r="M271" s="449">
        <v>0</v>
      </c>
      <c r="N271" s="449">
        <v>72</v>
      </c>
      <c r="O271" s="450">
        <v>126862</v>
      </c>
      <c r="P271" s="450">
        <v>0</v>
      </c>
      <c r="Q271" s="450">
        <v>0</v>
      </c>
      <c r="R271" s="449"/>
      <c r="S271" s="450"/>
      <c r="T271" s="447">
        <f t="shared" si="18"/>
        <v>60459</v>
      </c>
      <c r="U271" s="448">
        <f t="shared" si="19"/>
        <v>61041.5</v>
      </c>
      <c r="V271" s="449">
        <v>38983</v>
      </c>
      <c r="W271" s="450">
        <v>37026.5</v>
      </c>
      <c r="X271" s="449">
        <v>2845</v>
      </c>
      <c r="Y271" s="450">
        <v>3483</v>
      </c>
      <c r="Z271" s="449">
        <v>18604</v>
      </c>
      <c r="AA271" s="449">
        <v>27</v>
      </c>
      <c r="AB271" s="449">
        <v>0</v>
      </c>
      <c r="AC271" s="450">
        <v>20528</v>
      </c>
      <c r="AD271" s="450">
        <v>4</v>
      </c>
      <c r="AE271" s="450">
        <v>0</v>
      </c>
      <c r="AF271" s="449"/>
      <c r="AG271" s="450"/>
    </row>
    <row r="272" spans="1:33">
      <c r="A272" s="112" t="s">
        <v>300</v>
      </c>
      <c r="B272" s="113" t="s">
        <v>305</v>
      </c>
      <c r="C272" s="116"/>
      <c r="D272" s="115">
        <v>198464</v>
      </c>
      <c r="E272" s="115">
        <v>2</v>
      </c>
      <c r="F272" s="447">
        <f t="shared" si="16"/>
        <v>654760</v>
      </c>
      <c r="G272" s="448">
        <f t="shared" si="17"/>
        <v>641242</v>
      </c>
      <c r="H272" s="449">
        <v>509594</v>
      </c>
      <c r="I272" s="450">
        <v>486716</v>
      </c>
      <c r="J272" s="449">
        <v>4632</v>
      </c>
      <c r="K272" s="450">
        <v>5587</v>
      </c>
      <c r="L272" s="449">
        <v>140345</v>
      </c>
      <c r="M272" s="449">
        <v>189</v>
      </c>
      <c r="N272" s="449">
        <v>0</v>
      </c>
      <c r="O272" s="450">
        <v>148140</v>
      </c>
      <c r="P272" s="450">
        <v>799</v>
      </c>
      <c r="Q272" s="450">
        <v>0</v>
      </c>
      <c r="R272" s="449"/>
      <c r="S272" s="450"/>
      <c r="T272" s="447">
        <f t="shared" si="18"/>
        <v>90063</v>
      </c>
      <c r="U272" s="448">
        <f t="shared" si="19"/>
        <v>87185</v>
      </c>
      <c r="V272" s="449">
        <v>33630</v>
      </c>
      <c r="W272" s="450">
        <v>31719</v>
      </c>
      <c r="X272" s="449">
        <v>1424</v>
      </c>
      <c r="Y272" s="450">
        <v>1264</v>
      </c>
      <c r="Z272" s="449">
        <v>55003</v>
      </c>
      <c r="AA272" s="449">
        <v>6</v>
      </c>
      <c r="AB272" s="449">
        <v>0</v>
      </c>
      <c r="AC272" s="450">
        <v>54178</v>
      </c>
      <c r="AD272" s="450">
        <v>24</v>
      </c>
      <c r="AE272" s="450">
        <v>0</v>
      </c>
      <c r="AF272" s="449"/>
      <c r="AG272" s="450"/>
    </row>
    <row r="273" spans="1:33">
      <c r="A273" s="112" t="s">
        <v>300</v>
      </c>
      <c r="B273" s="113" t="s">
        <v>306</v>
      </c>
      <c r="C273" s="114"/>
      <c r="D273" s="115">
        <v>197869</v>
      </c>
      <c r="E273" s="115">
        <v>3</v>
      </c>
      <c r="F273" s="447">
        <f t="shared" si="16"/>
        <v>521514</v>
      </c>
      <c r="G273" s="448">
        <f t="shared" si="17"/>
        <v>527992</v>
      </c>
      <c r="H273" s="449">
        <v>469391</v>
      </c>
      <c r="I273" s="450">
        <v>469508</v>
      </c>
      <c r="J273" s="449">
        <v>2717</v>
      </c>
      <c r="K273" s="450">
        <v>3194</v>
      </c>
      <c r="L273" s="449">
        <v>49406</v>
      </c>
      <c r="M273" s="449">
        <v>0</v>
      </c>
      <c r="N273" s="449">
        <v>0</v>
      </c>
      <c r="O273" s="450">
        <v>55290</v>
      </c>
      <c r="P273" s="450">
        <v>0</v>
      </c>
      <c r="Q273" s="450">
        <v>0</v>
      </c>
      <c r="R273" s="449"/>
      <c r="S273" s="450"/>
      <c r="T273" s="447">
        <f t="shared" si="18"/>
        <v>33844</v>
      </c>
      <c r="U273" s="448">
        <f t="shared" si="19"/>
        <v>33977</v>
      </c>
      <c r="V273" s="449">
        <v>22430</v>
      </c>
      <c r="W273" s="450">
        <v>21511</v>
      </c>
      <c r="X273" s="449">
        <v>847</v>
      </c>
      <c r="Y273" s="450">
        <v>1391</v>
      </c>
      <c r="Z273" s="449">
        <v>10567</v>
      </c>
      <c r="AA273" s="449">
        <v>0</v>
      </c>
      <c r="AB273" s="449">
        <v>0</v>
      </c>
      <c r="AC273" s="450">
        <v>11075</v>
      </c>
      <c r="AD273" s="450">
        <v>0</v>
      </c>
      <c r="AE273" s="450">
        <v>0</v>
      </c>
      <c r="AF273" s="449"/>
      <c r="AG273" s="450"/>
    </row>
    <row r="274" spans="1:33">
      <c r="A274" s="112" t="s">
        <v>300</v>
      </c>
      <c r="B274" s="113" t="s">
        <v>307</v>
      </c>
      <c r="C274" s="114" t="s">
        <v>796</v>
      </c>
      <c r="D274" s="115">
        <v>199102</v>
      </c>
      <c r="E274" s="115">
        <v>3</v>
      </c>
      <c r="F274" s="447">
        <f t="shared" ref="F274:F337" si="20">SUM(H274,J274,L274,M274,N274,R274)</f>
        <v>299251</v>
      </c>
      <c r="G274" s="448">
        <f t="shared" ref="G274:G337" si="21">SUM(I274,K274,O274,P274,Q274,S274)</f>
        <v>310172</v>
      </c>
      <c r="H274" s="449">
        <v>256702</v>
      </c>
      <c r="I274" s="450">
        <v>264181</v>
      </c>
      <c r="J274" s="449">
        <v>474</v>
      </c>
      <c r="K274" s="450">
        <v>286</v>
      </c>
      <c r="L274" s="449">
        <v>42075</v>
      </c>
      <c r="M274" s="449">
        <v>0</v>
      </c>
      <c r="N274" s="449">
        <v>0</v>
      </c>
      <c r="O274" s="450">
        <v>45705</v>
      </c>
      <c r="P274" s="450">
        <v>0</v>
      </c>
      <c r="Q274" s="450">
        <v>0</v>
      </c>
      <c r="R274" s="449"/>
      <c r="S274" s="450"/>
      <c r="T274" s="447">
        <f t="shared" ref="T274:T337" si="22">SUM(V274,X274,Z274,AA274,AB274,AF274)</f>
        <v>25362</v>
      </c>
      <c r="U274" s="448">
        <f t="shared" ref="U274:U337" si="23">SUM(W274,Y274,AC274,AD274,AE274,AG274)</f>
        <v>25042</v>
      </c>
      <c r="V274" s="449">
        <v>17462</v>
      </c>
      <c r="W274" s="450">
        <v>15932</v>
      </c>
      <c r="X274" s="449">
        <v>718</v>
      </c>
      <c r="Y274" s="450">
        <v>1081</v>
      </c>
      <c r="Z274" s="449">
        <v>7182</v>
      </c>
      <c r="AA274" s="449">
        <v>0</v>
      </c>
      <c r="AB274" s="449">
        <v>0</v>
      </c>
      <c r="AC274" s="450">
        <v>8029</v>
      </c>
      <c r="AD274" s="450">
        <v>0</v>
      </c>
      <c r="AE274" s="450">
        <v>0</v>
      </c>
      <c r="AF274" s="449"/>
      <c r="AG274" s="450"/>
    </row>
    <row r="275" spans="1:33">
      <c r="A275" s="112" t="s">
        <v>300</v>
      </c>
      <c r="B275" s="113" t="s">
        <v>308</v>
      </c>
      <c r="C275" s="114"/>
      <c r="D275" s="115">
        <v>199157</v>
      </c>
      <c r="E275" s="115">
        <v>3</v>
      </c>
      <c r="F275" s="447">
        <f t="shared" si="20"/>
        <v>184226</v>
      </c>
      <c r="G275" s="448">
        <f t="shared" si="21"/>
        <v>174006</v>
      </c>
      <c r="H275" s="449">
        <v>143625</v>
      </c>
      <c r="I275" s="450">
        <v>131580.5</v>
      </c>
      <c r="J275" s="449">
        <v>266</v>
      </c>
      <c r="K275" s="450">
        <v>271.5</v>
      </c>
      <c r="L275" s="449">
        <v>40335</v>
      </c>
      <c r="M275" s="449">
        <v>0</v>
      </c>
      <c r="N275" s="449">
        <v>0</v>
      </c>
      <c r="O275" s="450">
        <v>42154</v>
      </c>
      <c r="P275" s="450">
        <v>0</v>
      </c>
      <c r="Q275" s="450">
        <v>0</v>
      </c>
      <c r="R275" s="449"/>
      <c r="S275" s="450"/>
      <c r="T275" s="447">
        <f t="shared" si="22"/>
        <v>36971</v>
      </c>
      <c r="U275" s="448">
        <f t="shared" si="23"/>
        <v>38432.5</v>
      </c>
      <c r="V275" s="449">
        <v>26753</v>
      </c>
      <c r="W275" s="450">
        <v>25762.5</v>
      </c>
      <c r="X275" s="449">
        <v>9</v>
      </c>
      <c r="Y275" s="450">
        <v>20</v>
      </c>
      <c r="Z275" s="449">
        <v>10209</v>
      </c>
      <c r="AA275" s="449">
        <v>0</v>
      </c>
      <c r="AB275" s="449">
        <v>0</v>
      </c>
      <c r="AC275" s="450">
        <v>12650</v>
      </c>
      <c r="AD275" s="450">
        <v>0</v>
      </c>
      <c r="AE275" s="450">
        <v>0</v>
      </c>
      <c r="AF275" s="449"/>
      <c r="AG275" s="450"/>
    </row>
    <row r="276" spans="1:33">
      <c r="A276" s="112" t="s">
        <v>300</v>
      </c>
      <c r="B276" s="113" t="s">
        <v>309</v>
      </c>
      <c r="C276" s="114"/>
      <c r="D276" s="115">
        <v>199218</v>
      </c>
      <c r="E276" s="115">
        <v>3</v>
      </c>
      <c r="F276" s="447">
        <f t="shared" si="20"/>
        <v>411212</v>
      </c>
      <c r="G276" s="448">
        <f t="shared" si="21"/>
        <v>414692.5</v>
      </c>
      <c r="H276" s="449">
        <v>302455</v>
      </c>
      <c r="I276" s="450">
        <v>298967.5</v>
      </c>
      <c r="J276" s="449">
        <v>4323</v>
      </c>
      <c r="K276" s="450">
        <v>6323</v>
      </c>
      <c r="L276" s="449">
        <v>104239</v>
      </c>
      <c r="M276" s="449">
        <v>195</v>
      </c>
      <c r="N276" s="449">
        <v>0</v>
      </c>
      <c r="O276" s="450">
        <v>109291</v>
      </c>
      <c r="P276" s="450">
        <v>111</v>
      </c>
      <c r="Q276" s="450">
        <v>0</v>
      </c>
      <c r="R276" s="449"/>
      <c r="S276" s="450"/>
      <c r="T276" s="447">
        <f t="shared" si="22"/>
        <v>36035</v>
      </c>
      <c r="U276" s="448">
        <f t="shared" si="23"/>
        <v>43696.5</v>
      </c>
      <c r="V276" s="449">
        <v>15519</v>
      </c>
      <c r="W276" s="450">
        <v>15973.5</v>
      </c>
      <c r="X276" s="449">
        <v>504</v>
      </c>
      <c r="Y276" s="450">
        <v>843</v>
      </c>
      <c r="Z276" s="449">
        <v>19976</v>
      </c>
      <c r="AA276" s="449">
        <v>36</v>
      </c>
      <c r="AB276" s="449">
        <v>0</v>
      </c>
      <c r="AC276" s="450">
        <v>26880</v>
      </c>
      <c r="AD276" s="450">
        <v>0</v>
      </c>
      <c r="AE276" s="450">
        <v>0</v>
      </c>
      <c r="AF276" s="449"/>
      <c r="AG276" s="450"/>
    </row>
    <row r="277" spans="1:33">
      <c r="A277" s="112" t="s">
        <v>300</v>
      </c>
      <c r="B277" s="113" t="s">
        <v>310</v>
      </c>
      <c r="C277" s="114"/>
      <c r="D277" s="115">
        <v>200004</v>
      </c>
      <c r="E277" s="115">
        <v>3</v>
      </c>
      <c r="F277" s="447">
        <f t="shared" si="20"/>
        <v>273040</v>
      </c>
      <c r="G277" s="448">
        <f t="shared" si="21"/>
        <v>288700</v>
      </c>
      <c r="H277" s="449">
        <v>224300</v>
      </c>
      <c r="I277" s="450">
        <v>229718</v>
      </c>
      <c r="J277" s="449">
        <v>3285</v>
      </c>
      <c r="K277" s="450">
        <v>3122</v>
      </c>
      <c r="L277" s="449">
        <v>45443</v>
      </c>
      <c r="M277" s="449">
        <v>12</v>
      </c>
      <c r="N277" s="449">
        <v>0</v>
      </c>
      <c r="O277" s="450">
        <v>55854</v>
      </c>
      <c r="P277" s="450">
        <v>6</v>
      </c>
      <c r="Q277" s="450">
        <v>0</v>
      </c>
      <c r="R277" s="449"/>
      <c r="S277" s="450"/>
      <c r="T277" s="447">
        <f t="shared" si="22"/>
        <v>31370</v>
      </c>
      <c r="U277" s="448">
        <f t="shared" si="23"/>
        <v>32672</v>
      </c>
      <c r="V277" s="449">
        <v>10282</v>
      </c>
      <c r="W277" s="450">
        <v>10779</v>
      </c>
      <c r="X277" s="449">
        <v>7318</v>
      </c>
      <c r="Y277" s="450">
        <v>7814</v>
      </c>
      <c r="Z277" s="449">
        <v>13770</v>
      </c>
      <c r="AA277" s="449">
        <v>0</v>
      </c>
      <c r="AB277" s="449">
        <v>0</v>
      </c>
      <c r="AC277" s="450">
        <v>14079</v>
      </c>
      <c r="AD277" s="450">
        <v>0</v>
      </c>
      <c r="AE277" s="450">
        <v>0</v>
      </c>
      <c r="AF277" s="449"/>
      <c r="AG277" s="450"/>
    </row>
    <row r="278" spans="1:33">
      <c r="A278" s="112" t="s">
        <v>300</v>
      </c>
      <c r="B278" s="113" t="s">
        <v>311</v>
      </c>
      <c r="C278" s="114"/>
      <c r="D278" s="115">
        <v>198543</v>
      </c>
      <c r="E278" s="115">
        <v>4</v>
      </c>
      <c r="F278" s="447">
        <f t="shared" si="20"/>
        <v>145496</v>
      </c>
      <c r="G278" s="448">
        <f t="shared" si="21"/>
        <v>150115</v>
      </c>
      <c r="H278" s="449">
        <v>88239</v>
      </c>
      <c r="I278" s="450">
        <v>82139</v>
      </c>
      <c r="J278" s="449">
        <v>896</v>
      </c>
      <c r="K278" s="450">
        <v>487</v>
      </c>
      <c r="L278" s="449">
        <v>56361</v>
      </c>
      <c r="M278" s="449">
        <v>0</v>
      </c>
      <c r="N278" s="449">
        <v>0</v>
      </c>
      <c r="O278" s="450">
        <v>67489</v>
      </c>
      <c r="P278" s="450">
        <v>0</v>
      </c>
      <c r="Q278" s="450">
        <v>0</v>
      </c>
      <c r="R278" s="449"/>
      <c r="S278" s="450"/>
      <c r="T278" s="447">
        <f t="shared" si="22"/>
        <v>14498</v>
      </c>
      <c r="U278" s="448">
        <f t="shared" si="23"/>
        <v>14338</v>
      </c>
      <c r="V278" s="449">
        <v>4987</v>
      </c>
      <c r="W278" s="450">
        <v>4773</v>
      </c>
      <c r="X278" s="449">
        <v>178</v>
      </c>
      <c r="Y278" s="450">
        <v>0</v>
      </c>
      <c r="Z278" s="449">
        <v>9333</v>
      </c>
      <c r="AA278" s="449">
        <v>0</v>
      </c>
      <c r="AB278" s="449">
        <v>0</v>
      </c>
      <c r="AC278" s="450">
        <v>9565</v>
      </c>
      <c r="AD278" s="450">
        <v>0</v>
      </c>
      <c r="AE278" s="450">
        <v>0</v>
      </c>
      <c r="AF278" s="449"/>
      <c r="AG278" s="450"/>
    </row>
    <row r="279" spans="1:33">
      <c r="A279" s="112" t="s">
        <v>300</v>
      </c>
      <c r="B279" s="113" t="s">
        <v>312</v>
      </c>
      <c r="C279" s="114"/>
      <c r="D279" s="115">
        <v>199281</v>
      </c>
      <c r="E279" s="115">
        <v>5</v>
      </c>
      <c r="F279" s="447">
        <f t="shared" si="20"/>
        <v>157525</v>
      </c>
      <c r="G279" s="448">
        <f t="shared" si="21"/>
        <v>170420</v>
      </c>
      <c r="H279" s="449">
        <v>108847</v>
      </c>
      <c r="I279" s="450">
        <v>111719</v>
      </c>
      <c r="J279" s="449">
        <v>1065</v>
      </c>
      <c r="K279" s="450">
        <v>1245</v>
      </c>
      <c r="L279" s="449">
        <v>47294</v>
      </c>
      <c r="M279" s="449">
        <v>319</v>
      </c>
      <c r="N279" s="449">
        <v>0</v>
      </c>
      <c r="O279" s="450">
        <v>57279</v>
      </c>
      <c r="P279" s="450">
        <v>177</v>
      </c>
      <c r="Q279" s="450">
        <v>0</v>
      </c>
      <c r="R279" s="449"/>
      <c r="S279" s="450"/>
      <c r="T279" s="447">
        <f t="shared" si="22"/>
        <v>16342</v>
      </c>
      <c r="U279" s="448">
        <f t="shared" si="23"/>
        <v>22171</v>
      </c>
      <c r="V279" s="449">
        <v>5668</v>
      </c>
      <c r="W279" s="450">
        <v>5067</v>
      </c>
      <c r="X279" s="449">
        <v>765</v>
      </c>
      <c r="Y279" s="450">
        <v>984</v>
      </c>
      <c r="Z279" s="449">
        <v>9909</v>
      </c>
      <c r="AA279" s="449">
        <v>0</v>
      </c>
      <c r="AB279" s="449">
        <v>0</v>
      </c>
      <c r="AC279" s="450">
        <v>16087</v>
      </c>
      <c r="AD279" s="450">
        <v>33</v>
      </c>
      <c r="AE279" s="450">
        <v>0</v>
      </c>
      <c r="AF279" s="449"/>
      <c r="AG279" s="450"/>
    </row>
    <row r="280" spans="1:33">
      <c r="A280" s="112" t="s">
        <v>300</v>
      </c>
      <c r="B280" s="113" t="s">
        <v>313</v>
      </c>
      <c r="C280" s="114"/>
      <c r="D280" s="115">
        <v>199999</v>
      </c>
      <c r="E280" s="115">
        <v>5</v>
      </c>
      <c r="F280" s="447">
        <f t="shared" si="20"/>
        <v>134963</v>
      </c>
      <c r="G280" s="448">
        <f t="shared" si="21"/>
        <v>132430</v>
      </c>
      <c r="H280" s="449">
        <v>106798</v>
      </c>
      <c r="I280" s="450">
        <v>101340</v>
      </c>
      <c r="J280" s="449">
        <v>14</v>
      </c>
      <c r="K280" s="450">
        <v>6</v>
      </c>
      <c r="L280" s="449">
        <v>17248</v>
      </c>
      <c r="M280" s="449">
        <v>0</v>
      </c>
      <c r="N280" s="449">
        <v>10903</v>
      </c>
      <c r="O280" s="450">
        <v>22317</v>
      </c>
      <c r="P280" s="450">
        <v>0</v>
      </c>
      <c r="Q280" s="450">
        <v>8767</v>
      </c>
      <c r="R280" s="449"/>
      <c r="S280" s="450"/>
      <c r="T280" s="447">
        <f t="shared" si="22"/>
        <v>10437</v>
      </c>
      <c r="U280" s="448">
        <f t="shared" si="23"/>
        <v>11013</v>
      </c>
      <c r="V280" s="449">
        <v>6228</v>
      </c>
      <c r="W280" s="450">
        <v>6336</v>
      </c>
      <c r="X280" s="449">
        <v>84</v>
      </c>
      <c r="Y280" s="450">
        <v>87</v>
      </c>
      <c r="Z280" s="449">
        <v>2461</v>
      </c>
      <c r="AA280" s="449">
        <v>0</v>
      </c>
      <c r="AB280" s="449">
        <v>1664</v>
      </c>
      <c r="AC280" s="450">
        <v>3106</v>
      </c>
      <c r="AD280" s="450">
        <v>0</v>
      </c>
      <c r="AE280" s="450">
        <v>1484</v>
      </c>
      <c r="AF280" s="449"/>
      <c r="AG280" s="450"/>
    </row>
    <row r="281" spans="1:33">
      <c r="A281" s="112" t="s">
        <v>300</v>
      </c>
      <c r="B281" s="113" t="s">
        <v>314</v>
      </c>
      <c r="C281" s="114"/>
      <c r="D281" s="115">
        <v>198507</v>
      </c>
      <c r="E281" s="115">
        <v>6</v>
      </c>
      <c r="F281" s="447">
        <f t="shared" si="20"/>
        <v>41216</v>
      </c>
      <c r="G281" s="448">
        <f t="shared" si="21"/>
        <v>46357</v>
      </c>
      <c r="H281" s="449">
        <v>34062</v>
      </c>
      <c r="I281" s="450">
        <v>36646</v>
      </c>
      <c r="J281" s="449">
        <v>100</v>
      </c>
      <c r="K281" s="450">
        <v>172</v>
      </c>
      <c r="L281" s="449">
        <v>6877</v>
      </c>
      <c r="M281" s="449">
        <v>177</v>
      </c>
      <c r="N281" s="449">
        <v>0</v>
      </c>
      <c r="O281" s="450">
        <v>9401</v>
      </c>
      <c r="P281" s="450">
        <v>138</v>
      </c>
      <c r="Q281" s="450">
        <v>0</v>
      </c>
      <c r="R281" s="449"/>
      <c r="S281" s="450"/>
      <c r="T281" s="447">
        <f t="shared" si="22"/>
        <v>653</v>
      </c>
      <c r="U281" s="448">
        <f t="shared" si="23"/>
        <v>1228</v>
      </c>
      <c r="V281" s="449">
        <v>509</v>
      </c>
      <c r="W281" s="450">
        <v>399</v>
      </c>
      <c r="X281" s="449">
        <v>0</v>
      </c>
      <c r="Y281" s="450">
        <v>0</v>
      </c>
      <c r="Z281" s="449">
        <v>144</v>
      </c>
      <c r="AA281" s="449">
        <v>0</v>
      </c>
      <c r="AB281" s="449">
        <v>0</v>
      </c>
      <c r="AC281" s="450">
        <v>829</v>
      </c>
      <c r="AD281" s="450">
        <v>0</v>
      </c>
      <c r="AE281" s="450">
        <v>0</v>
      </c>
      <c r="AF281" s="449"/>
      <c r="AG281" s="450"/>
    </row>
    <row r="282" spans="1:33">
      <c r="A282" s="112" t="s">
        <v>300</v>
      </c>
      <c r="B282" s="113" t="s">
        <v>315</v>
      </c>
      <c r="C282" s="114"/>
      <c r="D282" s="115">
        <v>199111</v>
      </c>
      <c r="E282" s="115">
        <v>6</v>
      </c>
      <c r="F282" s="447">
        <f t="shared" si="20"/>
        <v>102105</v>
      </c>
      <c r="G282" s="448">
        <f t="shared" si="21"/>
        <v>98978</v>
      </c>
      <c r="H282" s="449">
        <v>98279</v>
      </c>
      <c r="I282" s="450">
        <v>94924</v>
      </c>
      <c r="J282" s="449">
        <v>402</v>
      </c>
      <c r="K282" s="450">
        <v>773</v>
      </c>
      <c r="L282" s="449">
        <v>884</v>
      </c>
      <c r="M282" s="449">
        <v>2540</v>
      </c>
      <c r="N282" s="449">
        <v>0</v>
      </c>
      <c r="O282" s="450">
        <v>1050</v>
      </c>
      <c r="P282" s="450">
        <v>2231</v>
      </c>
      <c r="Q282" s="450">
        <v>0</v>
      </c>
      <c r="R282" s="449"/>
      <c r="S282" s="450"/>
      <c r="T282" s="447">
        <f t="shared" si="22"/>
        <v>229</v>
      </c>
      <c r="U282" s="448">
        <f t="shared" si="23"/>
        <v>213</v>
      </c>
      <c r="V282" s="449">
        <v>229</v>
      </c>
      <c r="W282" s="450">
        <v>213</v>
      </c>
      <c r="X282" s="449">
        <v>0</v>
      </c>
      <c r="Y282" s="450">
        <v>0</v>
      </c>
      <c r="Z282" s="449">
        <v>0</v>
      </c>
      <c r="AA282" s="449">
        <v>0</v>
      </c>
      <c r="AB282" s="449">
        <v>0</v>
      </c>
      <c r="AC282" s="450">
        <v>0</v>
      </c>
      <c r="AD282" s="450">
        <v>0</v>
      </c>
      <c r="AE282" s="450">
        <v>0</v>
      </c>
      <c r="AF282" s="449"/>
      <c r="AG282" s="450"/>
    </row>
    <row r="283" spans="1:33">
      <c r="A283" s="112" t="s">
        <v>300</v>
      </c>
      <c r="B283" s="113" t="s">
        <v>764</v>
      </c>
      <c r="C283" s="114"/>
      <c r="D283" s="115">
        <v>199184</v>
      </c>
      <c r="E283" s="115">
        <v>15</v>
      </c>
      <c r="F283" s="447">
        <f t="shared" si="20"/>
        <v>27802</v>
      </c>
      <c r="G283" s="448">
        <f t="shared" si="21"/>
        <v>27437</v>
      </c>
      <c r="H283" s="449">
        <v>26953</v>
      </c>
      <c r="I283" s="450">
        <v>26729</v>
      </c>
      <c r="J283" s="449">
        <v>0</v>
      </c>
      <c r="K283" s="450">
        <v>0</v>
      </c>
      <c r="L283" s="449">
        <v>849</v>
      </c>
      <c r="M283" s="449">
        <v>0</v>
      </c>
      <c r="N283" s="449">
        <v>0</v>
      </c>
      <c r="O283" s="450">
        <v>708</v>
      </c>
      <c r="P283" s="450">
        <v>0</v>
      </c>
      <c r="Q283" s="450">
        <v>0</v>
      </c>
      <c r="R283" s="449"/>
      <c r="S283" s="450"/>
      <c r="T283" s="447">
        <f t="shared" si="22"/>
        <v>3726</v>
      </c>
      <c r="U283" s="448">
        <f t="shared" si="23"/>
        <v>3822</v>
      </c>
      <c r="V283" s="449">
        <v>3726</v>
      </c>
      <c r="W283" s="450">
        <v>3810</v>
      </c>
      <c r="X283" s="449">
        <v>0</v>
      </c>
      <c r="Y283" s="450">
        <v>0</v>
      </c>
      <c r="Z283" s="449">
        <v>0</v>
      </c>
      <c r="AA283" s="449">
        <v>0</v>
      </c>
      <c r="AB283" s="449">
        <v>0</v>
      </c>
      <c r="AC283" s="450">
        <v>12</v>
      </c>
      <c r="AD283" s="450">
        <v>0</v>
      </c>
      <c r="AE283" s="450">
        <v>0</v>
      </c>
      <c r="AF283" s="449"/>
      <c r="AG283" s="450"/>
    </row>
    <row r="284" spans="1:33" ht="15.5">
      <c r="A284" s="79" t="s">
        <v>300</v>
      </c>
      <c r="B284" s="83" t="s">
        <v>317</v>
      </c>
      <c r="C284" s="81"/>
      <c r="D284" s="82">
        <v>197887</v>
      </c>
      <c r="E284" s="82">
        <v>8</v>
      </c>
      <c r="F284" s="447">
        <f t="shared" si="20"/>
        <v>134652</v>
      </c>
      <c r="G284" s="448">
        <f t="shared" si="21"/>
        <v>130252</v>
      </c>
      <c r="H284" s="449">
        <v>77613</v>
      </c>
      <c r="I284" s="471">
        <v>71398</v>
      </c>
      <c r="J284" s="449">
        <v>9482</v>
      </c>
      <c r="K284" s="471">
        <v>11798</v>
      </c>
      <c r="L284" s="449">
        <v>45949</v>
      </c>
      <c r="M284" s="449">
        <v>1608</v>
      </c>
      <c r="N284" s="449">
        <v>0</v>
      </c>
      <c r="O284" s="471">
        <v>46950</v>
      </c>
      <c r="P284" s="471">
        <v>106</v>
      </c>
      <c r="Q284" s="450">
        <v>0</v>
      </c>
      <c r="R284" s="449"/>
      <c r="S284" s="450"/>
      <c r="T284" s="447">
        <f t="shared" si="22"/>
        <v>0</v>
      </c>
      <c r="U284" s="448">
        <f t="shared" si="23"/>
        <v>0</v>
      </c>
      <c r="V284" s="449"/>
      <c r="W284" s="450"/>
      <c r="X284" s="449"/>
      <c r="Y284" s="450"/>
      <c r="Z284" s="449"/>
      <c r="AA284" s="449"/>
      <c r="AB284" s="449"/>
      <c r="AC284" s="450"/>
      <c r="AD284" s="450"/>
      <c r="AE284" s="450"/>
      <c r="AF284" s="449"/>
      <c r="AG284" s="450"/>
    </row>
    <row r="285" spans="1:33" ht="15.5">
      <c r="A285" s="79" t="s">
        <v>300</v>
      </c>
      <c r="B285" s="83" t="s">
        <v>323</v>
      </c>
      <c r="C285" s="81"/>
      <c r="D285" s="82">
        <v>198154</v>
      </c>
      <c r="E285" s="82">
        <v>8</v>
      </c>
      <c r="F285" s="447">
        <f t="shared" si="20"/>
        <v>180547</v>
      </c>
      <c r="G285" s="448">
        <f t="shared" si="21"/>
        <v>180199</v>
      </c>
      <c r="H285" s="449">
        <v>99943</v>
      </c>
      <c r="I285" s="471">
        <v>109834</v>
      </c>
      <c r="J285" s="449">
        <v>402</v>
      </c>
      <c r="K285" s="471">
        <v>1058</v>
      </c>
      <c r="L285" s="449">
        <v>80202</v>
      </c>
      <c r="M285" s="449">
        <v>0</v>
      </c>
      <c r="N285" s="449">
        <v>0</v>
      </c>
      <c r="O285" s="471">
        <v>69307</v>
      </c>
      <c r="P285" s="471">
        <v>0</v>
      </c>
      <c r="Q285" s="450">
        <v>0</v>
      </c>
      <c r="R285" s="449"/>
      <c r="S285" s="450"/>
      <c r="T285" s="447">
        <f t="shared" si="22"/>
        <v>0</v>
      </c>
      <c r="U285" s="448">
        <f t="shared" si="23"/>
        <v>0</v>
      </c>
      <c r="V285" s="449"/>
      <c r="W285" s="450"/>
      <c r="X285" s="449"/>
      <c r="Y285" s="450"/>
      <c r="Z285" s="449"/>
      <c r="AA285" s="449"/>
      <c r="AB285" s="449"/>
      <c r="AC285" s="450"/>
      <c r="AD285" s="450"/>
      <c r="AE285" s="450"/>
      <c r="AF285" s="449"/>
      <c r="AG285" s="450"/>
    </row>
    <row r="286" spans="1:33" ht="15.5">
      <c r="A286" s="79" t="s">
        <v>300</v>
      </c>
      <c r="B286" s="83" t="s">
        <v>327</v>
      </c>
      <c r="C286" s="81"/>
      <c r="D286" s="82">
        <v>198260</v>
      </c>
      <c r="E286" s="82">
        <v>8</v>
      </c>
      <c r="F286" s="447">
        <f t="shared" si="20"/>
        <v>398707</v>
      </c>
      <c r="G286" s="448">
        <f t="shared" si="21"/>
        <v>394333.5</v>
      </c>
      <c r="H286" s="449">
        <v>231467</v>
      </c>
      <c r="I286" s="471">
        <v>233449.5</v>
      </c>
      <c r="J286" s="449">
        <v>12609</v>
      </c>
      <c r="K286" s="471">
        <v>8849</v>
      </c>
      <c r="L286" s="449">
        <v>154631</v>
      </c>
      <c r="M286" s="449">
        <v>0</v>
      </c>
      <c r="N286" s="449">
        <v>0</v>
      </c>
      <c r="O286" s="471">
        <v>152035</v>
      </c>
      <c r="P286" s="471">
        <v>0</v>
      </c>
      <c r="Q286" s="450">
        <v>0</v>
      </c>
      <c r="R286" s="449"/>
      <c r="S286" s="450"/>
      <c r="T286" s="447">
        <f t="shared" si="22"/>
        <v>0</v>
      </c>
      <c r="U286" s="448">
        <f t="shared" si="23"/>
        <v>0</v>
      </c>
      <c r="V286" s="449"/>
      <c r="W286" s="450"/>
      <c r="X286" s="449"/>
      <c r="Y286" s="450"/>
      <c r="Z286" s="449"/>
      <c r="AA286" s="449"/>
      <c r="AB286" s="449"/>
      <c r="AC286" s="450"/>
      <c r="AD286" s="450"/>
      <c r="AE286" s="450"/>
      <c r="AF286" s="449"/>
      <c r="AG286" s="450"/>
    </row>
    <row r="287" spans="1:33" s="27" customFormat="1" ht="13.5" customHeight="1">
      <c r="A287" s="79" t="s">
        <v>300</v>
      </c>
      <c r="B287" s="83" t="s">
        <v>335</v>
      </c>
      <c r="C287" s="81"/>
      <c r="D287" s="82">
        <v>198534</v>
      </c>
      <c r="E287" s="82">
        <v>8</v>
      </c>
      <c r="F287" s="447">
        <f t="shared" si="20"/>
        <v>246044</v>
      </c>
      <c r="G287" s="448">
        <f t="shared" si="21"/>
        <v>253004</v>
      </c>
      <c r="H287" s="449">
        <v>98321</v>
      </c>
      <c r="I287" s="471">
        <v>104447</v>
      </c>
      <c r="J287" s="449">
        <v>2346</v>
      </c>
      <c r="K287" s="471">
        <v>0</v>
      </c>
      <c r="L287" s="449">
        <v>145332</v>
      </c>
      <c r="M287" s="449">
        <v>45</v>
      </c>
      <c r="N287" s="449">
        <v>0</v>
      </c>
      <c r="O287" s="471">
        <v>148557</v>
      </c>
      <c r="P287" s="471">
        <v>0</v>
      </c>
      <c r="Q287" s="450">
        <v>0</v>
      </c>
      <c r="R287" s="449"/>
      <c r="S287" s="450"/>
      <c r="T287" s="447">
        <f t="shared" si="22"/>
        <v>0</v>
      </c>
      <c r="U287" s="448">
        <f t="shared" si="23"/>
        <v>0</v>
      </c>
      <c r="V287" s="449"/>
      <c r="W287" s="450"/>
      <c r="X287" s="449"/>
      <c r="Y287" s="450"/>
      <c r="Z287" s="449"/>
      <c r="AA287" s="449"/>
      <c r="AB287" s="449"/>
      <c r="AC287" s="450"/>
      <c r="AD287" s="450"/>
      <c r="AE287" s="450"/>
      <c r="AF287" s="449"/>
      <c r="AG287" s="450"/>
    </row>
    <row r="288" spans="1:33" ht="15.5">
      <c r="A288" s="79" t="s">
        <v>300</v>
      </c>
      <c r="B288" s="83" t="s">
        <v>336</v>
      </c>
      <c r="C288" s="81"/>
      <c r="D288" s="82">
        <v>198552</v>
      </c>
      <c r="E288" s="82">
        <v>8</v>
      </c>
      <c r="F288" s="447">
        <f t="shared" si="20"/>
        <v>162956</v>
      </c>
      <c r="G288" s="448">
        <f t="shared" si="21"/>
        <v>163779</v>
      </c>
      <c r="H288" s="449">
        <v>96388</v>
      </c>
      <c r="I288" s="471">
        <v>91103</v>
      </c>
      <c r="J288" s="449">
        <v>6008</v>
      </c>
      <c r="K288" s="471">
        <v>6274</v>
      </c>
      <c r="L288" s="449">
        <v>60226</v>
      </c>
      <c r="M288" s="449">
        <v>334</v>
      </c>
      <c r="N288" s="449">
        <v>0</v>
      </c>
      <c r="O288" s="471">
        <v>66187</v>
      </c>
      <c r="P288" s="471">
        <v>215</v>
      </c>
      <c r="Q288" s="450">
        <v>0</v>
      </c>
      <c r="R288" s="449"/>
      <c r="S288" s="450"/>
      <c r="T288" s="447">
        <f t="shared" si="22"/>
        <v>0</v>
      </c>
      <c r="U288" s="448">
        <f t="shared" si="23"/>
        <v>0</v>
      </c>
      <c r="V288" s="449"/>
      <c r="W288" s="450"/>
      <c r="X288" s="449"/>
      <c r="Y288" s="450"/>
      <c r="Z288" s="449"/>
      <c r="AA288" s="449"/>
      <c r="AB288" s="449"/>
      <c r="AC288" s="450"/>
      <c r="AD288" s="450"/>
      <c r="AE288" s="450"/>
      <c r="AF288" s="449"/>
      <c r="AG288" s="450"/>
    </row>
    <row r="289" spans="1:33" ht="15.5">
      <c r="A289" s="79" t="s">
        <v>300</v>
      </c>
      <c r="B289" s="83" t="s">
        <v>338</v>
      </c>
      <c r="C289" s="81"/>
      <c r="D289" s="82">
        <v>198622</v>
      </c>
      <c r="E289" s="82">
        <v>8</v>
      </c>
      <c r="F289" s="447">
        <f t="shared" si="20"/>
        <v>215073</v>
      </c>
      <c r="G289" s="448">
        <f t="shared" si="21"/>
        <v>223250</v>
      </c>
      <c r="H289" s="449">
        <v>131697</v>
      </c>
      <c r="I289" s="471">
        <v>138834</v>
      </c>
      <c r="J289" s="449">
        <v>4396</v>
      </c>
      <c r="K289" s="471">
        <v>3857</v>
      </c>
      <c r="L289" s="449">
        <v>78980</v>
      </c>
      <c r="M289" s="449">
        <v>0</v>
      </c>
      <c r="N289" s="449">
        <v>0</v>
      </c>
      <c r="O289" s="471">
        <v>80559</v>
      </c>
      <c r="P289" s="471">
        <v>0</v>
      </c>
      <c r="Q289" s="450">
        <v>0</v>
      </c>
      <c r="R289" s="449"/>
      <c r="S289" s="450"/>
      <c r="T289" s="447">
        <f t="shared" si="22"/>
        <v>0</v>
      </c>
      <c r="U289" s="448">
        <f t="shared" si="23"/>
        <v>0</v>
      </c>
      <c r="V289" s="449"/>
      <c r="W289" s="450"/>
      <c r="X289" s="449"/>
      <c r="Y289" s="450"/>
      <c r="Z289" s="449"/>
      <c r="AA289" s="449"/>
      <c r="AB289" s="449"/>
      <c r="AC289" s="450"/>
      <c r="AD289" s="450"/>
      <c r="AE289" s="450"/>
      <c r="AF289" s="449"/>
      <c r="AG289" s="450"/>
    </row>
    <row r="290" spans="1:33" ht="15.5">
      <c r="A290" s="79" t="s">
        <v>300</v>
      </c>
      <c r="B290" s="83" t="s">
        <v>353</v>
      </c>
      <c r="C290" s="81"/>
      <c r="D290" s="82">
        <v>199333</v>
      </c>
      <c r="E290" s="82">
        <v>8</v>
      </c>
      <c r="F290" s="447">
        <f t="shared" si="20"/>
        <v>175132</v>
      </c>
      <c r="G290" s="448">
        <f t="shared" si="21"/>
        <v>176993</v>
      </c>
      <c r="H290" s="449">
        <v>68556</v>
      </c>
      <c r="I290" s="471">
        <v>69851</v>
      </c>
      <c r="J290" s="449">
        <v>11917</v>
      </c>
      <c r="K290" s="471">
        <v>12025</v>
      </c>
      <c r="L290" s="449">
        <v>94515</v>
      </c>
      <c r="M290" s="449">
        <v>144</v>
      </c>
      <c r="N290" s="449">
        <v>0</v>
      </c>
      <c r="O290" s="471">
        <v>94982</v>
      </c>
      <c r="P290" s="471">
        <v>135</v>
      </c>
      <c r="Q290" s="450">
        <v>0</v>
      </c>
      <c r="R290" s="449"/>
      <c r="S290" s="450"/>
      <c r="T290" s="447">
        <f t="shared" si="22"/>
        <v>0</v>
      </c>
      <c r="U290" s="448">
        <f t="shared" si="23"/>
        <v>0</v>
      </c>
      <c r="V290" s="449"/>
      <c r="W290" s="450"/>
      <c r="X290" s="449"/>
      <c r="Y290" s="450"/>
      <c r="Z290" s="449"/>
      <c r="AA290" s="449"/>
      <c r="AB290" s="449"/>
      <c r="AC290" s="450"/>
      <c r="AD290" s="450"/>
      <c r="AE290" s="450"/>
      <c r="AF290" s="449"/>
      <c r="AG290" s="450"/>
    </row>
    <row r="291" spans="1:33" ht="15.5">
      <c r="A291" s="79" t="s">
        <v>300</v>
      </c>
      <c r="B291" s="83" t="s">
        <v>359</v>
      </c>
      <c r="C291" s="119"/>
      <c r="D291" s="82">
        <v>199494</v>
      </c>
      <c r="E291" s="82">
        <v>8</v>
      </c>
      <c r="F291" s="447">
        <f t="shared" si="20"/>
        <v>121306</v>
      </c>
      <c r="G291" s="448">
        <f t="shared" si="21"/>
        <v>127826</v>
      </c>
      <c r="H291" s="449">
        <v>51264</v>
      </c>
      <c r="I291" s="471">
        <v>53927</v>
      </c>
      <c r="J291" s="449">
        <v>7184</v>
      </c>
      <c r="K291" s="471">
        <v>8939</v>
      </c>
      <c r="L291" s="449">
        <v>62858</v>
      </c>
      <c r="M291" s="449">
        <v>0</v>
      </c>
      <c r="N291" s="449">
        <v>0</v>
      </c>
      <c r="O291" s="471">
        <v>64960</v>
      </c>
      <c r="P291" s="471">
        <v>0</v>
      </c>
      <c r="Q291" s="450">
        <v>0</v>
      </c>
      <c r="R291" s="449"/>
      <c r="S291" s="450"/>
      <c r="T291" s="447">
        <f t="shared" si="22"/>
        <v>0</v>
      </c>
      <c r="U291" s="448">
        <f t="shared" si="23"/>
        <v>0</v>
      </c>
      <c r="V291" s="449"/>
      <c r="W291" s="450"/>
      <c r="X291" s="449"/>
      <c r="Y291" s="450"/>
      <c r="Z291" s="449"/>
      <c r="AA291" s="449"/>
      <c r="AB291" s="449"/>
      <c r="AC291" s="450"/>
      <c r="AD291" s="450"/>
      <c r="AE291" s="450"/>
      <c r="AF291" s="449"/>
      <c r="AG291" s="450"/>
    </row>
    <row r="292" spans="1:33" ht="15.5">
      <c r="A292" s="79" t="s">
        <v>300</v>
      </c>
      <c r="B292" s="83" t="s">
        <v>369</v>
      </c>
      <c r="C292" s="119"/>
      <c r="D292" s="82">
        <v>199856</v>
      </c>
      <c r="E292" s="82">
        <v>8</v>
      </c>
      <c r="F292" s="447">
        <f t="shared" si="20"/>
        <v>450324</v>
      </c>
      <c r="G292" s="448">
        <f t="shared" si="21"/>
        <v>451813</v>
      </c>
      <c r="H292" s="449">
        <v>247792</v>
      </c>
      <c r="I292" s="471">
        <v>248494</v>
      </c>
      <c r="J292" s="449">
        <v>4391</v>
      </c>
      <c r="K292" s="471">
        <v>5393</v>
      </c>
      <c r="L292" s="449">
        <v>198141</v>
      </c>
      <c r="M292" s="449">
        <v>0</v>
      </c>
      <c r="N292" s="449">
        <v>0</v>
      </c>
      <c r="O292" s="471">
        <v>197926</v>
      </c>
      <c r="P292" s="471">
        <v>0</v>
      </c>
      <c r="Q292" s="450">
        <v>0</v>
      </c>
      <c r="R292" s="449"/>
      <c r="S292" s="450"/>
      <c r="T292" s="447">
        <f t="shared" si="22"/>
        <v>0</v>
      </c>
      <c r="U292" s="448">
        <f t="shared" si="23"/>
        <v>0</v>
      </c>
      <c r="V292" s="449"/>
      <c r="W292" s="450"/>
      <c r="X292" s="449"/>
      <c r="Y292" s="450"/>
      <c r="Z292" s="449"/>
      <c r="AA292" s="449"/>
      <c r="AB292" s="449"/>
      <c r="AC292" s="450"/>
      <c r="AD292" s="450"/>
      <c r="AE292" s="450"/>
      <c r="AF292" s="449"/>
      <c r="AG292" s="450"/>
    </row>
    <row r="293" spans="1:33" ht="15.5">
      <c r="A293" s="79" t="s">
        <v>300</v>
      </c>
      <c r="B293" s="83" t="s">
        <v>316</v>
      </c>
      <c r="C293" s="81"/>
      <c r="D293" s="82">
        <v>199786</v>
      </c>
      <c r="E293" s="82">
        <v>9</v>
      </c>
      <c r="F293" s="447">
        <f t="shared" si="20"/>
        <v>85227</v>
      </c>
      <c r="G293" s="448">
        <f t="shared" si="21"/>
        <v>85399.5</v>
      </c>
      <c r="H293" s="449">
        <v>49639</v>
      </c>
      <c r="I293" s="471">
        <v>48328.5</v>
      </c>
      <c r="J293" s="449">
        <v>4592</v>
      </c>
      <c r="K293" s="471">
        <v>4868</v>
      </c>
      <c r="L293" s="449">
        <v>30996</v>
      </c>
      <c r="M293" s="449">
        <v>0</v>
      </c>
      <c r="N293" s="449">
        <v>0</v>
      </c>
      <c r="O293" s="471">
        <v>32203</v>
      </c>
      <c r="P293" s="471">
        <v>0</v>
      </c>
      <c r="Q293" s="450">
        <v>0</v>
      </c>
      <c r="R293" s="449"/>
      <c r="S293" s="450"/>
      <c r="T293" s="447">
        <f t="shared" si="22"/>
        <v>0</v>
      </c>
      <c r="U293" s="448">
        <f t="shared" si="23"/>
        <v>0</v>
      </c>
      <c r="V293" s="449"/>
      <c r="W293" s="450"/>
      <c r="X293" s="449"/>
      <c r="Y293" s="450"/>
      <c r="Z293" s="449"/>
      <c r="AA293" s="449"/>
      <c r="AB293" s="449"/>
      <c r="AC293" s="450"/>
      <c r="AD293" s="450"/>
      <c r="AE293" s="450"/>
      <c r="AF293" s="449"/>
      <c r="AG293" s="450"/>
    </row>
    <row r="294" spans="1:33" ht="15.5">
      <c r="A294" s="79" t="s">
        <v>300</v>
      </c>
      <c r="B294" s="83" t="s">
        <v>322</v>
      </c>
      <c r="C294" s="81"/>
      <c r="D294" s="82">
        <v>198118</v>
      </c>
      <c r="E294" s="82">
        <v>9</v>
      </c>
      <c r="F294" s="447">
        <f t="shared" si="20"/>
        <v>68976</v>
      </c>
      <c r="G294" s="448">
        <f t="shared" si="21"/>
        <v>73103</v>
      </c>
      <c r="H294" s="449">
        <v>26268</v>
      </c>
      <c r="I294" s="471">
        <v>39452</v>
      </c>
      <c r="J294" s="449">
        <v>3371</v>
      </c>
      <c r="K294" s="471">
        <v>4089</v>
      </c>
      <c r="L294" s="449">
        <v>34582</v>
      </c>
      <c r="M294" s="449">
        <v>4755</v>
      </c>
      <c r="N294" s="449">
        <v>0</v>
      </c>
      <c r="O294" s="471">
        <v>27325</v>
      </c>
      <c r="P294" s="471">
        <v>2237</v>
      </c>
      <c r="Q294" s="450">
        <v>0</v>
      </c>
      <c r="R294" s="449"/>
      <c r="S294" s="450"/>
      <c r="T294" s="447">
        <f t="shared" si="22"/>
        <v>0</v>
      </c>
      <c r="U294" s="448">
        <f t="shared" si="23"/>
        <v>0</v>
      </c>
      <c r="V294" s="449"/>
      <c r="W294" s="450"/>
      <c r="X294" s="449"/>
      <c r="Y294" s="450"/>
      <c r="Z294" s="449"/>
      <c r="AA294" s="449"/>
      <c r="AB294" s="449"/>
      <c r="AC294" s="450"/>
      <c r="AD294" s="450"/>
      <c r="AE294" s="450"/>
      <c r="AF294" s="449"/>
      <c r="AG294" s="450"/>
    </row>
    <row r="295" spans="1:33" ht="15.5">
      <c r="A295" s="79" t="s">
        <v>300</v>
      </c>
      <c r="B295" s="83" t="s">
        <v>325</v>
      </c>
      <c r="C295" s="81"/>
      <c r="D295" s="82">
        <v>198233</v>
      </c>
      <c r="E295" s="82">
        <v>9</v>
      </c>
      <c r="F295" s="447">
        <f t="shared" si="20"/>
        <v>93701</v>
      </c>
      <c r="G295" s="448">
        <f t="shared" si="21"/>
        <v>95883</v>
      </c>
      <c r="H295" s="449">
        <v>37918</v>
      </c>
      <c r="I295" s="471">
        <v>46866</v>
      </c>
      <c r="J295" s="449">
        <v>2306</v>
      </c>
      <c r="K295" s="471">
        <v>5585</v>
      </c>
      <c r="L295" s="449">
        <v>53477</v>
      </c>
      <c r="M295" s="449">
        <v>0</v>
      </c>
      <c r="N295" s="449">
        <v>0</v>
      </c>
      <c r="O295" s="471">
        <v>43432</v>
      </c>
      <c r="P295" s="471">
        <v>0</v>
      </c>
      <c r="Q295" s="450">
        <v>0</v>
      </c>
      <c r="R295" s="449"/>
      <c r="S295" s="450"/>
      <c r="T295" s="447">
        <f t="shared" si="22"/>
        <v>0</v>
      </c>
      <c r="U295" s="448">
        <f t="shared" si="23"/>
        <v>0</v>
      </c>
      <c r="V295" s="449"/>
      <c r="W295" s="450"/>
      <c r="X295" s="449"/>
      <c r="Y295" s="450"/>
      <c r="Z295" s="449"/>
      <c r="AA295" s="449"/>
      <c r="AB295" s="449"/>
      <c r="AC295" s="450"/>
      <c r="AD295" s="450"/>
      <c r="AE295" s="450"/>
      <c r="AF295" s="449"/>
      <c r="AG295" s="450"/>
    </row>
    <row r="296" spans="1:33" ht="15.5">
      <c r="A296" s="79" t="s">
        <v>300</v>
      </c>
      <c r="B296" s="83" t="s">
        <v>326</v>
      </c>
      <c r="C296" s="81"/>
      <c r="D296" s="82">
        <v>198251</v>
      </c>
      <c r="E296" s="82">
        <v>9</v>
      </c>
      <c r="F296" s="447">
        <f t="shared" si="20"/>
        <v>97555</v>
      </c>
      <c r="G296" s="448">
        <f t="shared" si="21"/>
        <v>106062</v>
      </c>
      <c r="H296" s="449">
        <v>44438</v>
      </c>
      <c r="I296" s="471">
        <v>48987</v>
      </c>
      <c r="J296" s="449">
        <v>7140</v>
      </c>
      <c r="K296" s="471">
        <v>6291</v>
      </c>
      <c r="L296" s="449">
        <v>45977</v>
      </c>
      <c r="M296" s="449">
        <v>0</v>
      </c>
      <c r="N296" s="449">
        <v>0</v>
      </c>
      <c r="O296" s="471">
        <v>50245</v>
      </c>
      <c r="P296" s="471">
        <v>539</v>
      </c>
      <c r="Q296" s="450">
        <v>0</v>
      </c>
      <c r="R296" s="449"/>
      <c r="S296" s="450"/>
      <c r="T296" s="447">
        <f t="shared" si="22"/>
        <v>0</v>
      </c>
      <c r="U296" s="448">
        <f t="shared" si="23"/>
        <v>0</v>
      </c>
      <c r="V296" s="449"/>
      <c r="W296" s="450"/>
      <c r="X296" s="449"/>
      <c r="Y296" s="450"/>
      <c r="Z296" s="449"/>
      <c r="AA296" s="449"/>
      <c r="AB296" s="449"/>
      <c r="AC296" s="450"/>
      <c r="AD296" s="450"/>
      <c r="AE296" s="450"/>
      <c r="AF296" s="449"/>
      <c r="AG296" s="450"/>
    </row>
    <row r="297" spans="1:33" ht="15.5">
      <c r="A297" s="79" t="s">
        <v>300</v>
      </c>
      <c r="B297" s="83" t="s">
        <v>328</v>
      </c>
      <c r="C297" s="81"/>
      <c r="D297" s="82">
        <v>198321</v>
      </c>
      <c r="E297" s="82">
        <v>9</v>
      </c>
      <c r="F297" s="447">
        <f t="shared" si="20"/>
        <v>53584</v>
      </c>
      <c r="G297" s="448">
        <f t="shared" si="21"/>
        <v>52901</v>
      </c>
      <c r="H297" s="449">
        <v>17848</v>
      </c>
      <c r="I297" s="471">
        <v>16727</v>
      </c>
      <c r="J297" s="449">
        <v>7047</v>
      </c>
      <c r="K297" s="471">
        <v>7442</v>
      </c>
      <c r="L297" s="449">
        <v>28590</v>
      </c>
      <c r="M297" s="449">
        <v>99</v>
      </c>
      <c r="N297" s="449">
        <v>0</v>
      </c>
      <c r="O297" s="471">
        <v>28717</v>
      </c>
      <c r="P297" s="471">
        <v>15</v>
      </c>
      <c r="Q297" s="450">
        <v>0</v>
      </c>
      <c r="R297" s="449"/>
      <c r="S297" s="450"/>
      <c r="T297" s="447">
        <f t="shared" si="22"/>
        <v>0</v>
      </c>
      <c r="U297" s="448">
        <f t="shared" si="23"/>
        <v>0</v>
      </c>
      <c r="V297" s="449"/>
      <c r="W297" s="450"/>
      <c r="X297" s="449"/>
      <c r="Y297" s="450"/>
      <c r="Z297" s="449"/>
      <c r="AA297" s="449"/>
      <c r="AB297" s="449"/>
      <c r="AC297" s="450"/>
      <c r="AD297" s="450"/>
      <c r="AE297" s="450"/>
      <c r="AF297" s="449"/>
      <c r="AG297" s="450"/>
    </row>
    <row r="298" spans="1:33" ht="15.5">
      <c r="A298" s="79" t="s">
        <v>300</v>
      </c>
      <c r="B298" s="117" t="s">
        <v>329</v>
      </c>
      <c r="C298" s="118"/>
      <c r="D298" s="82">
        <v>198330</v>
      </c>
      <c r="E298" s="82">
        <v>9</v>
      </c>
      <c r="F298" s="447">
        <f t="shared" si="20"/>
        <v>88909</v>
      </c>
      <c r="G298" s="448">
        <f t="shared" si="21"/>
        <v>89584</v>
      </c>
      <c r="H298" s="449">
        <v>56697</v>
      </c>
      <c r="I298" s="471">
        <v>57191</v>
      </c>
      <c r="J298" s="449">
        <v>4092</v>
      </c>
      <c r="K298" s="471">
        <v>5381</v>
      </c>
      <c r="L298" s="449">
        <v>28120</v>
      </c>
      <c r="M298" s="449">
        <v>0</v>
      </c>
      <c r="N298" s="449">
        <v>0</v>
      </c>
      <c r="O298" s="471">
        <v>27012</v>
      </c>
      <c r="P298" s="471">
        <v>0</v>
      </c>
      <c r="Q298" s="450">
        <v>0</v>
      </c>
      <c r="R298" s="449"/>
      <c r="S298" s="450"/>
      <c r="T298" s="447">
        <f t="shared" si="22"/>
        <v>0</v>
      </c>
      <c r="U298" s="448">
        <f t="shared" si="23"/>
        <v>0</v>
      </c>
      <c r="V298" s="449"/>
      <c r="W298" s="450"/>
      <c r="X298" s="449"/>
      <c r="Y298" s="450"/>
      <c r="Z298" s="449"/>
      <c r="AA298" s="449"/>
      <c r="AB298" s="449"/>
      <c r="AC298" s="450"/>
      <c r="AD298" s="450"/>
      <c r="AE298" s="450"/>
      <c r="AF298" s="449"/>
      <c r="AG298" s="450"/>
    </row>
    <row r="299" spans="1:33" ht="15.5">
      <c r="A299" s="79" t="s">
        <v>300</v>
      </c>
      <c r="B299" s="83" t="s">
        <v>331</v>
      </c>
      <c r="C299" s="81"/>
      <c r="D299" s="82">
        <v>198367</v>
      </c>
      <c r="E299" s="82">
        <v>9</v>
      </c>
      <c r="F299" s="447">
        <f t="shared" si="20"/>
        <v>61332</v>
      </c>
      <c r="G299" s="448">
        <f t="shared" si="21"/>
        <v>59283</v>
      </c>
      <c r="H299" s="449">
        <v>27923</v>
      </c>
      <c r="I299" s="471">
        <v>27933</v>
      </c>
      <c r="J299" s="449">
        <v>801</v>
      </c>
      <c r="K299" s="471">
        <v>1580</v>
      </c>
      <c r="L299" s="449">
        <v>32608</v>
      </c>
      <c r="M299" s="449">
        <v>0</v>
      </c>
      <c r="N299" s="449">
        <v>0</v>
      </c>
      <c r="O299" s="471">
        <v>29770</v>
      </c>
      <c r="P299" s="471">
        <v>0</v>
      </c>
      <c r="Q299" s="450">
        <v>0</v>
      </c>
      <c r="R299" s="449"/>
      <c r="S299" s="450"/>
      <c r="T299" s="447">
        <f t="shared" si="22"/>
        <v>0</v>
      </c>
      <c r="U299" s="448">
        <f t="shared" si="23"/>
        <v>0</v>
      </c>
      <c r="V299" s="449"/>
      <c r="W299" s="450"/>
      <c r="X299" s="449"/>
      <c r="Y299" s="450"/>
      <c r="Z299" s="449"/>
      <c r="AA299" s="449"/>
      <c r="AB299" s="449"/>
      <c r="AC299" s="450"/>
      <c r="AD299" s="450"/>
      <c r="AE299" s="450"/>
      <c r="AF299" s="449"/>
      <c r="AG299" s="450"/>
    </row>
    <row r="300" spans="1:33" ht="15.5">
      <c r="A300" s="79" t="s">
        <v>300</v>
      </c>
      <c r="B300" s="83" t="s">
        <v>332</v>
      </c>
      <c r="C300" s="81"/>
      <c r="D300" s="82">
        <v>198376</v>
      </c>
      <c r="E300" s="82">
        <v>9</v>
      </c>
      <c r="F300" s="447">
        <f t="shared" si="20"/>
        <v>72728</v>
      </c>
      <c r="G300" s="448">
        <f t="shared" si="21"/>
        <v>73191</v>
      </c>
      <c r="H300" s="449">
        <v>25351</v>
      </c>
      <c r="I300" s="471">
        <v>32904</v>
      </c>
      <c r="J300" s="449">
        <v>708</v>
      </c>
      <c r="K300" s="471">
        <v>841</v>
      </c>
      <c r="L300" s="449">
        <v>46300</v>
      </c>
      <c r="M300" s="449">
        <v>369</v>
      </c>
      <c r="N300" s="449">
        <v>0</v>
      </c>
      <c r="O300" s="471">
        <v>39446</v>
      </c>
      <c r="P300" s="471">
        <v>0</v>
      </c>
      <c r="Q300" s="450">
        <v>0</v>
      </c>
      <c r="R300" s="449"/>
      <c r="S300" s="450"/>
      <c r="T300" s="447">
        <f t="shared" si="22"/>
        <v>0</v>
      </c>
      <c r="U300" s="448">
        <f t="shared" si="23"/>
        <v>0</v>
      </c>
      <c r="V300" s="449"/>
      <c r="W300" s="450"/>
      <c r="X300" s="449"/>
      <c r="Y300" s="450"/>
      <c r="Z300" s="449"/>
      <c r="AA300" s="449"/>
      <c r="AB300" s="449"/>
      <c r="AC300" s="450"/>
      <c r="AD300" s="450"/>
      <c r="AE300" s="450"/>
      <c r="AF300" s="449"/>
      <c r="AG300" s="450"/>
    </row>
    <row r="301" spans="1:33" ht="15.5">
      <c r="A301" s="79" t="s">
        <v>300</v>
      </c>
      <c r="B301" s="83" t="s">
        <v>333</v>
      </c>
      <c r="C301" s="81"/>
      <c r="D301" s="82">
        <v>198455</v>
      </c>
      <c r="E301" s="82">
        <v>9</v>
      </c>
      <c r="F301" s="447">
        <f t="shared" si="20"/>
        <v>100705</v>
      </c>
      <c r="G301" s="448">
        <f t="shared" si="21"/>
        <v>104211</v>
      </c>
      <c r="H301" s="449">
        <v>61161</v>
      </c>
      <c r="I301" s="471">
        <v>64146</v>
      </c>
      <c r="J301" s="449">
        <v>1147</v>
      </c>
      <c r="K301" s="471">
        <v>3161</v>
      </c>
      <c r="L301" s="449">
        <v>38397</v>
      </c>
      <c r="M301" s="449">
        <v>0</v>
      </c>
      <c r="N301" s="449">
        <v>0</v>
      </c>
      <c r="O301" s="471">
        <v>36904</v>
      </c>
      <c r="P301" s="471">
        <v>0</v>
      </c>
      <c r="Q301" s="450">
        <v>0</v>
      </c>
      <c r="R301" s="449"/>
      <c r="S301" s="450"/>
      <c r="T301" s="447">
        <f t="shared" si="22"/>
        <v>0</v>
      </c>
      <c r="U301" s="448">
        <f t="shared" si="23"/>
        <v>0</v>
      </c>
      <c r="V301" s="449"/>
      <c r="W301" s="450"/>
      <c r="X301" s="449"/>
      <c r="Y301" s="450"/>
      <c r="Z301" s="449"/>
      <c r="AA301" s="449"/>
      <c r="AB301" s="449"/>
      <c r="AC301" s="450"/>
      <c r="AD301" s="450"/>
      <c r="AE301" s="450"/>
      <c r="AF301" s="449"/>
      <c r="AG301" s="450"/>
    </row>
    <row r="302" spans="1:33" ht="15.5">
      <c r="A302" s="79" t="s">
        <v>300</v>
      </c>
      <c r="B302" s="83" t="s">
        <v>337</v>
      </c>
      <c r="C302" s="84"/>
      <c r="D302" s="82">
        <v>198570</v>
      </c>
      <c r="E302" s="82">
        <v>9</v>
      </c>
      <c r="F302" s="447">
        <f t="shared" si="20"/>
        <v>106557</v>
      </c>
      <c r="G302" s="448">
        <f t="shared" si="21"/>
        <v>106395.5</v>
      </c>
      <c r="H302" s="449">
        <v>50349</v>
      </c>
      <c r="I302" s="471">
        <v>47557</v>
      </c>
      <c r="J302" s="449">
        <v>2051</v>
      </c>
      <c r="K302" s="471">
        <v>1965</v>
      </c>
      <c r="L302" s="449">
        <v>53902</v>
      </c>
      <c r="M302" s="449">
        <v>255</v>
      </c>
      <c r="N302" s="449">
        <v>0</v>
      </c>
      <c r="O302" s="471">
        <v>56627.5</v>
      </c>
      <c r="P302" s="471">
        <v>246</v>
      </c>
      <c r="Q302" s="450">
        <v>0</v>
      </c>
      <c r="R302" s="449"/>
      <c r="S302" s="450"/>
      <c r="T302" s="447">
        <f t="shared" si="22"/>
        <v>0</v>
      </c>
      <c r="U302" s="448">
        <f t="shared" si="23"/>
        <v>0</v>
      </c>
      <c r="V302" s="449"/>
      <c r="W302" s="450"/>
      <c r="X302" s="449"/>
      <c r="Y302" s="450"/>
      <c r="Z302" s="449"/>
      <c r="AA302" s="449"/>
      <c r="AB302" s="449"/>
      <c r="AC302" s="450"/>
      <c r="AD302" s="450"/>
      <c r="AE302" s="450"/>
      <c r="AF302" s="449"/>
      <c r="AG302" s="450"/>
    </row>
    <row r="303" spans="1:33" ht="15.5">
      <c r="A303" s="79" t="s">
        <v>300</v>
      </c>
      <c r="B303" s="83" t="s">
        <v>343</v>
      </c>
      <c r="C303" s="81"/>
      <c r="D303" s="82">
        <v>198774</v>
      </c>
      <c r="E303" s="82">
        <v>9</v>
      </c>
      <c r="F303" s="447">
        <f t="shared" si="20"/>
        <v>80117</v>
      </c>
      <c r="G303" s="448">
        <f t="shared" si="21"/>
        <v>80812</v>
      </c>
      <c r="H303" s="449">
        <v>37941</v>
      </c>
      <c r="I303" s="471">
        <v>37592</v>
      </c>
      <c r="J303" s="449">
        <v>4097</v>
      </c>
      <c r="K303" s="471">
        <v>5051</v>
      </c>
      <c r="L303" s="449">
        <v>37900</v>
      </c>
      <c r="M303" s="449">
        <v>179</v>
      </c>
      <c r="N303" s="449">
        <v>0</v>
      </c>
      <c r="O303" s="471">
        <v>38148</v>
      </c>
      <c r="P303" s="471">
        <v>21</v>
      </c>
      <c r="Q303" s="450">
        <v>0</v>
      </c>
      <c r="R303" s="449"/>
      <c r="S303" s="450"/>
      <c r="T303" s="447">
        <f t="shared" si="22"/>
        <v>0</v>
      </c>
      <c r="U303" s="448">
        <f t="shared" si="23"/>
        <v>0</v>
      </c>
      <c r="V303" s="449"/>
      <c r="W303" s="450"/>
      <c r="X303" s="449"/>
      <c r="Y303" s="450"/>
      <c r="Z303" s="449"/>
      <c r="AA303" s="449"/>
      <c r="AB303" s="449"/>
      <c r="AC303" s="450"/>
      <c r="AD303" s="450"/>
      <c r="AE303" s="450"/>
      <c r="AF303" s="449"/>
      <c r="AG303" s="450"/>
    </row>
    <row r="304" spans="1:33" ht="15.5">
      <c r="A304" s="79" t="s">
        <v>300</v>
      </c>
      <c r="B304" s="83" t="s">
        <v>344</v>
      </c>
      <c r="C304" s="81"/>
      <c r="D304" s="82">
        <v>198817</v>
      </c>
      <c r="E304" s="82">
        <v>9</v>
      </c>
      <c r="F304" s="447">
        <f t="shared" si="20"/>
        <v>54499</v>
      </c>
      <c r="G304" s="448">
        <f t="shared" si="21"/>
        <v>53415</v>
      </c>
      <c r="H304" s="449">
        <v>19989</v>
      </c>
      <c r="I304" s="471">
        <v>19059</v>
      </c>
      <c r="J304" s="449">
        <v>3256</v>
      </c>
      <c r="K304" s="471">
        <v>2691</v>
      </c>
      <c r="L304" s="449">
        <v>31115</v>
      </c>
      <c r="M304" s="449">
        <v>139</v>
      </c>
      <c r="N304" s="449">
        <v>0</v>
      </c>
      <c r="O304" s="471">
        <v>31587</v>
      </c>
      <c r="P304" s="471">
        <v>78</v>
      </c>
      <c r="Q304" s="450">
        <v>0</v>
      </c>
      <c r="R304" s="449"/>
      <c r="S304" s="450"/>
      <c r="T304" s="447">
        <f t="shared" si="22"/>
        <v>0</v>
      </c>
      <c r="U304" s="448">
        <f t="shared" si="23"/>
        <v>0</v>
      </c>
      <c r="V304" s="449"/>
      <c r="W304" s="450"/>
      <c r="X304" s="449"/>
      <c r="Y304" s="450"/>
      <c r="Z304" s="449"/>
      <c r="AA304" s="449"/>
      <c r="AB304" s="449"/>
      <c r="AC304" s="450"/>
      <c r="AD304" s="450"/>
      <c r="AE304" s="450"/>
      <c r="AF304" s="449"/>
      <c r="AG304" s="450"/>
    </row>
    <row r="305" spans="1:33" ht="15.5">
      <c r="A305" s="79" t="s">
        <v>300</v>
      </c>
      <c r="B305" s="83" t="s">
        <v>348</v>
      </c>
      <c r="C305" s="81"/>
      <c r="D305" s="82">
        <v>198987</v>
      </c>
      <c r="E305" s="82">
        <v>9</v>
      </c>
      <c r="F305" s="447">
        <f t="shared" si="20"/>
        <v>57998</v>
      </c>
      <c r="G305" s="448">
        <f t="shared" si="21"/>
        <v>57483</v>
      </c>
      <c r="H305" s="449">
        <v>21028</v>
      </c>
      <c r="I305" s="471">
        <v>26128</v>
      </c>
      <c r="J305" s="449">
        <v>2352</v>
      </c>
      <c r="K305" s="471">
        <v>3596</v>
      </c>
      <c r="L305" s="449">
        <v>34618</v>
      </c>
      <c r="M305" s="449">
        <v>0</v>
      </c>
      <c r="N305" s="449">
        <v>0</v>
      </c>
      <c r="O305" s="471">
        <v>27759</v>
      </c>
      <c r="P305" s="471">
        <v>0</v>
      </c>
      <c r="Q305" s="450">
        <v>0</v>
      </c>
      <c r="R305" s="449"/>
      <c r="S305" s="450"/>
      <c r="T305" s="447">
        <f t="shared" si="22"/>
        <v>0</v>
      </c>
      <c r="U305" s="448">
        <f t="shared" si="23"/>
        <v>0</v>
      </c>
      <c r="V305" s="449"/>
      <c r="W305" s="450"/>
      <c r="X305" s="449"/>
      <c r="Y305" s="450"/>
      <c r="Z305" s="449"/>
      <c r="AA305" s="449"/>
      <c r="AB305" s="449"/>
      <c r="AC305" s="450"/>
      <c r="AD305" s="450"/>
      <c r="AE305" s="450"/>
      <c r="AF305" s="449"/>
      <c r="AG305" s="450"/>
    </row>
    <row r="306" spans="1:33" ht="15.5">
      <c r="A306" s="79" t="s">
        <v>300</v>
      </c>
      <c r="B306" s="83" t="s">
        <v>350</v>
      </c>
      <c r="C306" s="81"/>
      <c r="D306" s="82">
        <v>199087</v>
      </c>
      <c r="E306" s="82">
        <v>9</v>
      </c>
      <c r="F306" s="447">
        <f t="shared" si="20"/>
        <v>60358</v>
      </c>
      <c r="G306" s="448">
        <f t="shared" si="21"/>
        <v>61348</v>
      </c>
      <c r="H306" s="449">
        <v>24714</v>
      </c>
      <c r="I306" s="471">
        <v>28553</v>
      </c>
      <c r="J306" s="449">
        <v>3160</v>
      </c>
      <c r="K306" s="471">
        <v>3326</v>
      </c>
      <c r="L306" s="449">
        <v>32484</v>
      </c>
      <c r="M306" s="449">
        <v>0</v>
      </c>
      <c r="N306" s="449">
        <v>0</v>
      </c>
      <c r="O306" s="471">
        <v>29469</v>
      </c>
      <c r="P306" s="471">
        <v>0</v>
      </c>
      <c r="Q306" s="450">
        <v>0</v>
      </c>
      <c r="R306" s="449"/>
      <c r="S306" s="450"/>
      <c r="T306" s="447">
        <f t="shared" si="22"/>
        <v>0</v>
      </c>
      <c r="U306" s="448">
        <f t="shared" si="23"/>
        <v>0</v>
      </c>
      <c r="V306" s="449"/>
      <c r="W306" s="450"/>
      <c r="X306" s="449"/>
      <c r="Y306" s="450"/>
      <c r="Z306" s="449"/>
      <c r="AA306" s="449"/>
      <c r="AB306" s="449"/>
      <c r="AC306" s="450"/>
      <c r="AD306" s="450"/>
      <c r="AE306" s="450"/>
      <c r="AF306" s="449"/>
      <c r="AG306" s="450"/>
    </row>
    <row r="307" spans="1:33" ht="15.5">
      <c r="A307" s="79" t="s">
        <v>300</v>
      </c>
      <c r="B307" s="83" t="s">
        <v>354</v>
      </c>
      <c r="C307" s="81"/>
      <c r="D307" s="82">
        <v>199421</v>
      </c>
      <c r="E307" s="82">
        <v>9</v>
      </c>
      <c r="F307" s="447">
        <f t="shared" si="20"/>
        <v>53994</v>
      </c>
      <c r="G307" s="448">
        <f t="shared" si="21"/>
        <v>53952</v>
      </c>
      <c r="H307" s="449">
        <v>24208</v>
      </c>
      <c r="I307" s="471">
        <v>27275</v>
      </c>
      <c r="J307" s="449">
        <v>1548</v>
      </c>
      <c r="K307" s="471">
        <v>1967</v>
      </c>
      <c r="L307" s="449">
        <v>28055</v>
      </c>
      <c r="M307" s="449">
        <v>183</v>
      </c>
      <c r="N307" s="449">
        <v>0</v>
      </c>
      <c r="O307" s="471">
        <v>24665</v>
      </c>
      <c r="P307" s="471">
        <v>45</v>
      </c>
      <c r="Q307" s="450">
        <v>0</v>
      </c>
      <c r="R307" s="449"/>
      <c r="S307" s="450"/>
      <c r="T307" s="447">
        <f t="shared" si="22"/>
        <v>0</v>
      </c>
      <c r="U307" s="448">
        <f t="shared" si="23"/>
        <v>0</v>
      </c>
      <c r="V307" s="449"/>
      <c r="W307" s="450"/>
      <c r="X307" s="449"/>
      <c r="Y307" s="450"/>
      <c r="Z307" s="449"/>
      <c r="AA307" s="449"/>
      <c r="AB307" s="449"/>
      <c r="AC307" s="450"/>
      <c r="AD307" s="450"/>
      <c r="AE307" s="450"/>
      <c r="AF307" s="449"/>
      <c r="AG307" s="450"/>
    </row>
    <row r="308" spans="1:33" ht="15.5">
      <c r="A308" s="79" t="s">
        <v>300</v>
      </c>
      <c r="B308" s="83" t="s">
        <v>355</v>
      </c>
      <c r="C308" s="84"/>
      <c r="D308" s="82">
        <v>199449</v>
      </c>
      <c r="E308" s="82">
        <v>9</v>
      </c>
      <c r="F308" s="447">
        <f t="shared" si="20"/>
        <v>51665</v>
      </c>
      <c r="G308" s="448">
        <f t="shared" si="21"/>
        <v>52823</v>
      </c>
      <c r="H308" s="449">
        <v>18350</v>
      </c>
      <c r="I308" s="471">
        <v>27857</v>
      </c>
      <c r="J308" s="449">
        <v>1883</v>
      </c>
      <c r="K308" s="471">
        <v>1381</v>
      </c>
      <c r="L308" s="449">
        <v>31432</v>
      </c>
      <c r="M308" s="449">
        <v>0</v>
      </c>
      <c r="N308" s="449">
        <v>0</v>
      </c>
      <c r="O308" s="471">
        <v>23585</v>
      </c>
      <c r="P308" s="471">
        <v>0</v>
      </c>
      <c r="Q308" s="450">
        <v>0</v>
      </c>
      <c r="R308" s="449"/>
      <c r="S308" s="450"/>
      <c r="T308" s="447">
        <f t="shared" si="22"/>
        <v>0</v>
      </c>
      <c r="U308" s="448">
        <f t="shared" si="23"/>
        <v>0</v>
      </c>
      <c r="V308" s="449"/>
      <c r="W308" s="450"/>
      <c r="X308" s="449"/>
      <c r="Y308" s="450"/>
      <c r="Z308" s="449"/>
      <c r="AA308" s="449"/>
      <c r="AB308" s="449"/>
      <c r="AC308" s="450"/>
      <c r="AD308" s="450"/>
      <c r="AE308" s="450"/>
      <c r="AF308" s="449"/>
      <c r="AG308" s="450"/>
    </row>
    <row r="309" spans="1:33" ht="15.5">
      <c r="A309" s="79" t="s">
        <v>300</v>
      </c>
      <c r="B309" s="83" t="s">
        <v>361</v>
      </c>
      <c r="C309" s="119"/>
      <c r="D309" s="82">
        <v>199634</v>
      </c>
      <c r="E309" s="82">
        <v>9</v>
      </c>
      <c r="F309" s="447">
        <f t="shared" si="20"/>
        <v>82556</v>
      </c>
      <c r="G309" s="448">
        <f t="shared" si="21"/>
        <v>82195</v>
      </c>
      <c r="H309" s="449">
        <v>34985</v>
      </c>
      <c r="I309" s="471">
        <v>47085</v>
      </c>
      <c r="J309" s="449">
        <v>2446</v>
      </c>
      <c r="K309" s="471">
        <v>2633</v>
      </c>
      <c r="L309" s="449">
        <v>45125</v>
      </c>
      <c r="M309" s="449">
        <v>0</v>
      </c>
      <c r="N309" s="449">
        <v>0</v>
      </c>
      <c r="O309" s="471">
        <v>32477</v>
      </c>
      <c r="P309" s="471">
        <v>0</v>
      </c>
      <c r="Q309" s="450">
        <v>0</v>
      </c>
      <c r="R309" s="449"/>
      <c r="S309" s="450"/>
      <c r="T309" s="447">
        <f t="shared" si="22"/>
        <v>0</v>
      </c>
      <c r="U309" s="448">
        <f t="shared" si="23"/>
        <v>0</v>
      </c>
      <c r="V309" s="449"/>
      <c r="W309" s="450"/>
      <c r="X309" s="449"/>
      <c r="Y309" s="450"/>
      <c r="Z309" s="449"/>
      <c r="AA309" s="449"/>
      <c r="AB309" s="449"/>
      <c r="AC309" s="450"/>
      <c r="AD309" s="450"/>
      <c r="AE309" s="450"/>
      <c r="AF309" s="449"/>
      <c r="AG309" s="450"/>
    </row>
    <row r="310" spans="1:33" ht="15.5">
      <c r="A310" s="79" t="s">
        <v>300</v>
      </c>
      <c r="B310" s="83" t="s">
        <v>362</v>
      </c>
      <c r="C310" s="120"/>
      <c r="D310" s="82">
        <v>197850</v>
      </c>
      <c r="E310" s="82">
        <v>9</v>
      </c>
      <c r="F310" s="447">
        <f t="shared" si="20"/>
        <v>46574</v>
      </c>
      <c r="G310" s="448">
        <f t="shared" si="21"/>
        <v>50230</v>
      </c>
      <c r="H310" s="449">
        <v>14701</v>
      </c>
      <c r="I310" s="471">
        <v>19542</v>
      </c>
      <c r="J310" s="449">
        <v>1334</v>
      </c>
      <c r="K310" s="471">
        <v>2433</v>
      </c>
      <c r="L310" s="449">
        <v>30539</v>
      </c>
      <c r="M310" s="449">
        <v>0</v>
      </c>
      <c r="N310" s="449">
        <v>0</v>
      </c>
      <c r="O310" s="471">
        <v>28255</v>
      </c>
      <c r="P310" s="471">
        <v>0</v>
      </c>
      <c r="Q310" s="450">
        <v>0</v>
      </c>
      <c r="R310" s="449"/>
      <c r="S310" s="450"/>
      <c r="T310" s="447">
        <f t="shared" si="22"/>
        <v>0</v>
      </c>
      <c r="U310" s="448">
        <f t="shared" si="23"/>
        <v>0</v>
      </c>
      <c r="V310" s="449"/>
      <c r="W310" s="450"/>
      <c r="X310" s="449"/>
      <c r="Y310" s="450"/>
      <c r="Z310" s="449"/>
      <c r="AA310" s="449"/>
      <c r="AB310" s="449"/>
      <c r="AC310" s="450"/>
      <c r="AD310" s="450"/>
      <c r="AE310" s="450"/>
      <c r="AF310" s="449"/>
      <c r="AG310" s="450"/>
    </row>
    <row r="311" spans="1:33" ht="15.5">
      <c r="A311" s="79" t="s">
        <v>300</v>
      </c>
      <c r="B311" s="83" t="s">
        <v>365</v>
      </c>
      <c r="C311" s="119"/>
      <c r="D311" s="82">
        <v>199740</v>
      </c>
      <c r="E311" s="82">
        <v>9</v>
      </c>
      <c r="F311" s="447">
        <f t="shared" si="20"/>
        <v>50354</v>
      </c>
      <c r="G311" s="448">
        <f t="shared" si="21"/>
        <v>50709</v>
      </c>
      <c r="H311" s="449">
        <v>11263</v>
      </c>
      <c r="I311" s="471">
        <v>12009</v>
      </c>
      <c r="J311" s="449">
        <v>3657</v>
      </c>
      <c r="K311" s="471">
        <v>2831</v>
      </c>
      <c r="L311" s="449">
        <v>35434</v>
      </c>
      <c r="M311" s="449">
        <v>0</v>
      </c>
      <c r="N311" s="449">
        <v>0</v>
      </c>
      <c r="O311" s="471">
        <v>35869</v>
      </c>
      <c r="P311" s="471">
        <v>0</v>
      </c>
      <c r="Q311" s="450">
        <v>0</v>
      </c>
      <c r="R311" s="449"/>
      <c r="S311" s="450"/>
      <c r="T311" s="447">
        <f t="shared" si="22"/>
        <v>0</v>
      </c>
      <c r="U311" s="448">
        <f t="shared" si="23"/>
        <v>0</v>
      </c>
      <c r="V311" s="449"/>
      <c r="W311" s="450"/>
      <c r="X311" s="449"/>
      <c r="Y311" s="450"/>
      <c r="Z311" s="449"/>
      <c r="AA311" s="449"/>
      <c r="AB311" s="449"/>
      <c r="AC311" s="450"/>
      <c r="AD311" s="450"/>
      <c r="AE311" s="450"/>
      <c r="AF311" s="449"/>
      <c r="AG311" s="450"/>
    </row>
    <row r="312" spans="1:33" ht="15.5">
      <c r="A312" s="79" t="s">
        <v>300</v>
      </c>
      <c r="B312" s="83" t="s">
        <v>366</v>
      </c>
      <c r="C312" s="119"/>
      <c r="D312" s="82">
        <v>199768</v>
      </c>
      <c r="E312" s="82">
        <v>9</v>
      </c>
      <c r="F312" s="447">
        <f t="shared" si="20"/>
        <v>60747</v>
      </c>
      <c r="G312" s="448">
        <f t="shared" si="21"/>
        <v>63103</v>
      </c>
      <c r="H312" s="449">
        <v>34830</v>
      </c>
      <c r="I312" s="471">
        <v>38276</v>
      </c>
      <c r="J312" s="449">
        <v>608</v>
      </c>
      <c r="K312" s="471">
        <v>1580</v>
      </c>
      <c r="L312" s="449">
        <v>24737</v>
      </c>
      <c r="M312" s="449">
        <v>572</v>
      </c>
      <c r="N312" s="449">
        <v>0</v>
      </c>
      <c r="O312" s="471">
        <v>23175</v>
      </c>
      <c r="P312" s="471">
        <v>72</v>
      </c>
      <c r="Q312" s="450">
        <v>0</v>
      </c>
      <c r="R312" s="449"/>
      <c r="S312" s="450"/>
      <c r="T312" s="447">
        <f t="shared" si="22"/>
        <v>0</v>
      </c>
      <c r="U312" s="448">
        <f t="shared" si="23"/>
        <v>0</v>
      </c>
      <c r="V312" s="449"/>
      <c r="W312" s="450"/>
      <c r="X312" s="449"/>
      <c r="Y312" s="450"/>
      <c r="Z312" s="449"/>
      <c r="AA312" s="449"/>
      <c r="AB312" s="449"/>
      <c r="AC312" s="450"/>
      <c r="AD312" s="450"/>
      <c r="AE312" s="450"/>
      <c r="AF312" s="449"/>
      <c r="AG312" s="450"/>
    </row>
    <row r="313" spans="1:33" ht="15.5">
      <c r="A313" s="79" t="s">
        <v>300</v>
      </c>
      <c r="B313" s="83" t="s">
        <v>368</v>
      </c>
      <c r="C313" s="119"/>
      <c r="D313" s="82">
        <v>199838</v>
      </c>
      <c r="E313" s="82">
        <v>9</v>
      </c>
      <c r="F313" s="447">
        <f t="shared" si="20"/>
        <v>55711</v>
      </c>
      <c r="G313" s="448">
        <f t="shared" si="21"/>
        <v>56360</v>
      </c>
      <c r="H313" s="449">
        <v>24474</v>
      </c>
      <c r="I313" s="471">
        <v>24032</v>
      </c>
      <c r="J313" s="449">
        <v>1260</v>
      </c>
      <c r="K313" s="471">
        <v>1102</v>
      </c>
      <c r="L313" s="449">
        <v>29364</v>
      </c>
      <c r="M313" s="449">
        <v>613</v>
      </c>
      <c r="N313" s="449">
        <v>0</v>
      </c>
      <c r="O313" s="471">
        <v>31076</v>
      </c>
      <c r="P313" s="471">
        <v>150</v>
      </c>
      <c r="Q313" s="450">
        <v>0</v>
      </c>
      <c r="R313" s="449"/>
      <c r="S313" s="450"/>
      <c r="T313" s="447">
        <f t="shared" si="22"/>
        <v>0</v>
      </c>
      <c r="U313" s="448">
        <f t="shared" si="23"/>
        <v>0</v>
      </c>
      <c r="V313" s="449"/>
      <c r="W313" s="450"/>
      <c r="X313" s="449"/>
      <c r="Y313" s="450"/>
      <c r="Z313" s="449"/>
      <c r="AA313" s="449"/>
      <c r="AB313" s="449"/>
      <c r="AC313" s="450"/>
      <c r="AD313" s="450"/>
      <c r="AE313" s="450"/>
      <c r="AF313" s="449"/>
      <c r="AG313" s="450"/>
    </row>
    <row r="314" spans="1:33" ht="15.5">
      <c r="A314" s="79" t="s">
        <v>300</v>
      </c>
      <c r="B314" s="83" t="s">
        <v>370</v>
      </c>
      <c r="C314" s="119"/>
      <c r="D314" s="82">
        <v>199892</v>
      </c>
      <c r="E314" s="82">
        <v>9</v>
      </c>
      <c r="F314" s="447">
        <f t="shared" si="20"/>
        <v>71828</v>
      </c>
      <c r="G314" s="448">
        <f t="shared" si="21"/>
        <v>70678</v>
      </c>
      <c r="H314" s="449">
        <v>31679</v>
      </c>
      <c r="I314" s="471">
        <v>33813</v>
      </c>
      <c r="J314" s="449">
        <v>360</v>
      </c>
      <c r="K314" s="471">
        <v>330</v>
      </c>
      <c r="L314" s="449">
        <v>39789</v>
      </c>
      <c r="M314" s="449">
        <v>0</v>
      </c>
      <c r="N314" s="449">
        <v>0</v>
      </c>
      <c r="O314" s="471">
        <v>36535</v>
      </c>
      <c r="P314" s="471">
        <v>0</v>
      </c>
      <c r="Q314" s="450">
        <v>0</v>
      </c>
      <c r="R314" s="449"/>
      <c r="S314" s="450"/>
      <c r="T314" s="447">
        <f t="shared" si="22"/>
        <v>0</v>
      </c>
      <c r="U314" s="448">
        <f t="shared" si="23"/>
        <v>0</v>
      </c>
      <c r="V314" s="449"/>
      <c r="W314" s="450"/>
      <c r="X314" s="449"/>
      <c r="Y314" s="450"/>
      <c r="Z314" s="449"/>
      <c r="AA314" s="449"/>
      <c r="AB314" s="449"/>
      <c r="AC314" s="450"/>
      <c r="AD314" s="450"/>
      <c r="AE314" s="450"/>
      <c r="AF314" s="449"/>
      <c r="AG314" s="450"/>
    </row>
    <row r="315" spans="1:33" ht="15.5">
      <c r="A315" s="79" t="s">
        <v>300</v>
      </c>
      <c r="B315" s="83" t="s">
        <v>372</v>
      </c>
      <c r="C315" s="81"/>
      <c r="D315" s="82">
        <v>199926</v>
      </c>
      <c r="E315" s="82">
        <v>9</v>
      </c>
      <c r="F315" s="447">
        <f t="shared" si="20"/>
        <v>55086</v>
      </c>
      <c r="G315" s="448">
        <f t="shared" si="21"/>
        <v>53428</v>
      </c>
      <c r="H315" s="449">
        <v>30404</v>
      </c>
      <c r="I315" s="471">
        <v>27215</v>
      </c>
      <c r="J315" s="449">
        <v>5742</v>
      </c>
      <c r="K315" s="471">
        <v>7481</v>
      </c>
      <c r="L315" s="449">
        <v>18700</v>
      </c>
      <c r="M315" s="449">
        <v>240</v>
      </c>
      <c r="N315" s="449">
        <v>0</v>
      </c>
      <c r="O315" s="471">
        <v>18717</v>
      </c>
      <c r="P315" s="471">
        <v>15</v>
      </c>
      <c r="Q315" s="450">
        <v>0</v>
      </c>
      <c r="R315" s="449"/>
      <c r="S315" s="450"/>
      <c r="T315" s="447">
        <f t="shared" si="22"/>
        <v>0</v>
      </c>
      <c r="U315" s="448">
        <f t="shared" si="23"/>
        <v>0</v>
      </c>
      <c r="V315" s="449"/>
      <c r="W315" s="450"/>
      <c r="X315" s="449"/>
      <c r="Y315" s="450"/>
      <c r="Z315" s="449"/>
      <c r="AA315" s="449"/>
      <c r="AB315" s="449"/>
      <c r="AC315" s="450"/>
      <c r="AD315" s="450"/>
      <c r="AE315" s="450"/>
      <c r="AF315" s="449"/>
      <c r="AG315" s="450"/>
    </row>
    <row r="316" spans="1:33" ht="15.5">
      <c r="A316" s="79" t="s">
        <v>300</v>
      </c>
      <c r="B316" s="83" t="s">
        <v>318</v>
      </c>
      <c r="C316" s="81"/>
      <c r="D316" s="82">
        <v>197966</v>
      </c>
      <c r="E316" s="82">
        <v>10</v>
      </c>
      <c r="F316" s="447">
        <f t="shared" si="20"/>
        <v>28199</v>
      </c>
      <c r="G316" s="448">
        <f t="shared" si="21"/>
        <v>30983</v>
      </c>
      <c r="H316" s="449">
        <v>9067</v>
      </c>
      <c r="I316" s="471">
        <v>11974</v>
      </c>
      <c r="J316" s="449">
        <v>1318</v>
      </c>
      <c r="K316" s="471">
        <v>1639</v>
      </c>
      <c r="L316" s="449">
        <v>17310</v>
      </c>
      <c r="M316" s="449">
        <v>0</v>
      </c>
      <c r="N316" s="449">
        <v>504</v>
      </c>
      <c r="O316" s="471">
        <v>16963</v>
      </c>
      <c r="P316" s="471">
        <v>407</v>
      </c>
      <c r="Q316" s="450">
        <v>0</v>
      </c>
      <c r="R316" s="449"/>
      <c r="S316" s="450"/>
      <c r="T316" s="447">
        <f t="shared" si="22"/>
        <v>0</v>
      </c>
      <c r="U316" s="448">
        <f t="shared" si="23"/>
        <v>0</v>
      </c>
      <c r="V316" s="449"/>
      <c r="W316" s="450"/>
      <c r="X316" s="449"/>
      <c r="Y316" s="450"/>
      <c r="Z316" s="449"/>
      <c r="AA316" s="449"/>
      <c r="AB316" s="449"/>
      <c r="AC316" s="450"/>
      <c r="AD316" s="450"/>
      <c r="AE316" s="450"/>
      <c r="AF316" s="449"/>
      <c r="AG316" s="450"/>
    </row>
    <row r="317" spans="1:33" ht="15.5">
      <c r="A317" s="79" t="s">
        <v>300</v>
      </c>
      <c r="B317" s="83" t="s">
        <v>319</v>
      </c>
      <c r="C317" s="81"/>
      <c r="D317" s="82">
        <v>198011</v>
      </c>
      <c r="E317" s="82">
        <v>10</v>
      </c>
      <c r="F317" s="447">
        <f t="shared" si="20"/>
        <v>26414</v>
      </c>
      <c r="G317" s="448">
        <f t="shared" si="21"/>
        <v>27615</v>
      </c>
      <c r="H317" s="449">
        <v>9902</v>
      </c>
      <c r="I317" s="471">
        <v>11008</v>
      </c>
      <c r="J317" s="449">
        <v>440</v>
      </c>
      <c r="K317" s="471">
        <v>772</v>
      </c>
      <c r="L317" s="449">
        <v>14724</v>
      </c>
      <c r="M317" s="449">
        <v>1348</v>
      </c>
      <c r="N317" s="449">
        <v>0</v>
      </c>
      <c r="O317" s="471">
        <v>15392</v>
      </c>
      <c r="P317" s="471">
        <v>443</v>
      </c>
      <c r="Q317" s="450">
        <v>0</v>
      </c>
      <c r="R317" s="449"/>
      <c r="S317" s="450"/>
      <c r="T317" s="447">
        <f t="shared" si="22"/>
        <v>0</v>
      </c>
      <c r="U317" s="448">
        <f t="shared" si="23"/>
        <v>0</v>
      </c>
      <c r="V317" s="449"/>
      <c r="W317" s="450"/>
      <c r="X317" s="449"/>
      <c r="Y317" s="450"/>
      <c r="Z317" s="449"/>
      <c r="AA317" s="449"/>
      <c r="AB317" s="449"/>
      <c r="AC317" s="450"/>
      <c r="AD317" s="450"/>
      <c r="AE317" s="450"/>
      <c r="AF317" s="449"/>
      <c r="AG317" s="450"/>
    </row>
    <row r="318" spans="1:33" ht="15.5">
      <c r="A318" s="79" t="s">
        <v>300</v>
      </c>
      <c r="B318" s="83" t="s">
        <v>320</v>
      </c>
      <c r="C318" s="81"/>
      <c r="D318" s="82">
        <v>198039</v>
      </c>
      <c r="E318" s="82">
        <v>10</v>
      </c>
      <c r="F318" s="447">
        <f t="shared" si="20"/>
        <v>40650</v>
      </c>
      <c r="G318" s="448">
        <f t="shared" si="21"/>
        <v>42337</v>
      </c>
      <c r="H318" s="449">
        <v>15145</v>
      </c>
      <c r="I318" s="471">
        <v>19834</v>
      </c>
      <c r="J318" s="449">
        <v>2474</v>
      </c>
      <c r="K318" s="471">
        <v>2590</v>
      </c>
      <c r="L318" s="449">
        <v>23031</v>
      </c>
      <c r="M318" s="449">
        <v>0</v>
      </c>
      <c r="N318" s="449">
        <v>0</v>
      </c>
      <c r="O318" s="471">
        <v>18509</v>
      </c>
      <c r="P318" s="471">
        <v>1404</v>
      </c>
      <c r="Q318" s="450">
        <v>0</v>
      </c>
      <c r="R318" s="449"/>
      <c r="S318" s="450"/>
      <c r="T318" s="447">
        <f t="shared" si="22"/>
        <v>0</v>
      </c>
      <c r="U318" s="448">
        <f t="shared" si="23"/>
        <v>0</v>
      </c>
      <c r="V318" s="449"/>
      <c r="W318" s="450"/>
      <c r="X318" s="449"/>
      <c r="Y318" s="450"/>
      <c r="Z318" s="449"/>
      <c r="AA318" s="449"/>
      <c r="AB318" s="449"/>
      <c r="AC318" s="450"/>
      <c r="AD318" s="450"/>
      <c r="AE318" s="450"/>
      <c r="AF318" s="449"/>
      <c r="AG318" s="450"/>
    </row>
    <row r="319" spans="1:33" ht="15.5">
      <c r="A319" s="79" t="s">
        <v>300</v>
      </c>
      <c r="B319" s="83" t="s">
        <v>321</v>
      </c>
      <c r="C319" s="81"/>
      <c r="D319" s="82">
        <v>198084</v>
      </c>
      <c r="E319" s="82">
        <v>10</v>
      </c>
      <c r="F319" s="447">
        <f t="shared" si="20"/>
        <v>30000</v>
      </c>
      <c r="G319" s="448">
        <f t="shared" si="21"/>
        <v>32579</v>
      </c>
      <c r="H319" s="449">
        <v>16140</v>
      </c>
      <c r="I319" s="471">
        <v>16749</v>
      </c>
      <c r="J319" s="449">
        <v>93</v>
      </c>
      <c r="K319" s="471">
        <v>249</v>
      </c>
      <c r="L319" s="449">
        <v>13767</v>
      </c>
      <c r="M319" s="449">
        <v>0</v>
      </c>
      <c r="N319" s="449">
        <v>0</v>
      </c>
      <c r="O319" s="471">
        <v>15572</v>
      </c>
      <c r="P319" s="471">
        <v>9</v>
      </c>
      <c r="Q319" s="450">
        <v>0</v>
      </c>
      <c r="R319" s="449"/>
      <c r="S319" s="450"/>
      <c r="T319" s="447">
        <f t="shared" si="22"/>
        <v>0</v>
      </c>
      <c r="U319" s="448">
        <f t="shared" si="23"/>
        <v>0</v>
      </c>
      <c r="V319" s="449"/>
      <c r="W319" s="450"/>
      <c r="X319" s="449"/>
      <c r="Y319" s="450"/>
      <c r="Z319" s="449"/>
      <c r="AA319" s="449"/>
      <c r="AB319" s="449"/>
      <c r="AC319" s="450"/>
      <c r="AD319" s="450"/>
      <c r="AE319" s="450"/>
      <c r="AF319" s="449"/>
      <c r="AG319" s="450"/>
    </row>
    <row r="320" spans="1:33" ht="15.5">
      <c r="A320" s="79" t="s">
        <v>300</v>
      </c>
      <c r="B320" s="83" t="s">
        <v>324</v>
      </c>
      <c r="C320" s="81"/>
      <c r="D320" s="82">
        <v>198206</v>
      </c>
      <c r="E320" s="82">
        <v>10</v>
      </c>
      <c r="F320" s="447">
        <f t="shared" si="20"/>
        <v>30359</v>
      </c>
      <c r="G320" s="448">
        <f t="shared" si="21"/>
        <v>31688</v>
      </c>
      <c r="H320" s="449">
        <v>14502</v>
      </c>
      <c r="I320" s="471">
        <v>15531</v>
      </c>
      <c r="J320" s="449">
        <v>1254</v>
      </c>
      <c r="K320" s="471">
        <v>1075</v>
      </c>
      <c r="L320" s="449">
        <v>14519</v>
      </c>
      <c r="M320" s="449">
        <v>84</v>
      </c>
      <c r="N320" s="449">
        <v>0</v>
      </c>
      <c r="O320" s="471">
        <v>15082</v>
      </c>
      <c r="P320" s="471">
        <v>0</v>
      </c>
      <c r="Q320" s="450">
        <v>0</v>
      </c>
      <c r="R320" s="449"/>
      <c r="S320" s="450"/>
      <c r="T320" s="447">
        <f t="shared" si="22"/>
        <v>0</v>
      </c>
      <c r="U320" s="448">
        <f t="shared" si="23"/>
        <v>0</v>
      </c>
      <c r="V320" s="449"/>
      <c r="W320" s="450"/>
      <c r="X320" s="449"/>
      <c r="Y320" s="450"/>
      <c r="Z320" s="449"/>
      <c r="AA320" s="449"/>
      <c r="AB320" s="449"/>
      <c r="AC320" s="450"/>
      <c r="AD320" s="450"/>
      <c r="AE320" s="450"/>
      <c r="AF320" s="449"/>
      <c r="AG320" s="450"/>
    </row>
    <row r="321" spans="1:33" ht="15.5">
      <c r="A321" s="79" t="s">
        <v>300</v>
      </c>
      <c r="B321" s="83" t="s">
        <v>330</v>
      </c>
      <c r="C321" s="119" t="s">
        <v>808</v>
      </c>
      <c r="D321" s="82">
        <v>197814</v>
      </c>
      <c r="E321" s="82">
        <v>10</v>
      </c>
      <c r="F321" s="447">
        <f t="shared" si="20"/>
        <v>50368</v>
      </c>
      <c r="G321" s="448">
        <f t="shared" si="21"/>
        <v>53321</v>
      </c>
      <c r="H321" s="449">
        <v>18536</v>
      </c>
      <c r="I321" s="471">
        <v>18519</v>
      </c>
      <c r="J321" s="449">
        <v>756</v>
      </c>
      <c r="K321" s="471">
        <v>4511</v>
      </c>
      <c r="L321" s="449">
        <v>30621</v>
      </c>
      <c r="M321" s="449">
        <v>455</v>
      </c>
      <c r="N321" s="449">
        <v>0</v>
      </c>
      <c r="O321" s="471">
        <v>30291</v>
      </c>
      <c r="P321" s="471">
        <v>0</v>
      </c>
      <c r="Q321" s="450">
        <v>0</v>
      </c>
      <c r="R321" s="449"/>
      <c r="S321" s="450"/>
      <c r="T321" s="447">
        <f t="shared" si="22"/>
        <v>0</v>
      </c>
      <c r="U321" s="448">
        <f t="shared" si="23"/>
        <v>0</v>
      </c>
      <c r="V321" s="449"/>
      <c r="W321" s="450"/>
      <c r="X321" s="449"/>
      <c r="Y321" s="450"/>
      <c r="Z321" s="449"/>
      <c r="AA321" s="449"/>
      <c r="AB321" s="449"/>
      <c r="AC321" s="450"/>
      <c r="AD321" s="450"/>
      <c r="AE321" s="450"/>
      <c r="AF321" s="449"/>
      <c r="AG321" s="450"/>
    </row>
    <row r="322" spans="1:33" ht="15.5">
      <c r="A322" s="79" t="s">
        <v>300</v>
      </c>
      <c r="B322" s="83" t="s">
        <v>334</v>
      </c>
      <c r="C322" s="120"/>
      <c r="D322" s="82">
        <v>198491</v>
      </c>
      <c r="E322" s="82">
        <v>10</v>
      </c>
      <c r="F322" s="447">
        <f t="shared" si="20"/>
        <v>43800</v>
      </c>
      <c r="G322" s="448">
        <f t="shared" si="21"/>
        <v>40430</v>
      </c>
      <c r="H322" s="449">
        <v>15886</v>
      </c>
      <c r="I322" s="471">
        <v>17043</v>
      </c>
      <c r="J322" s="449">
        <v>2625</v>
      </c>
      <c r="K322" s="471">
        <v>2108</v>
      </c>
      <c r="L322" s="449">
        <v>25289</v>
      </c>
      <c r="M322" s="449">
        <v>0</v>
      </c>
      <c r="N322" s="449">
        <v>0</v>
      </c>
      <c r="O322" s="471">
        <v>21279</v>
      </c>
      <c r="P322" s="471">
        <v>0</v>
      </c>
      <c r="Q322" s="450">
        <v>0</v>
      </c>
      <c r="R322" s="449"/>
      <c r="S322" s="450"/>
      <c r="T322" s="447">
        <f t="shared" si="22"/>
        <v>0</v>
      </c>
      <c r="U322" s="448">
        <f t="shared" si="23"/>
        <v>0</v>
      </c>
      <c r="V322" s="449"/>
      <c r="W322" s="450"/>
      <c r="X322" s="449"/>
      <c r="Y322" s="450"/>
      <c r="Z322" s="449"/>
      <c r="AA322" s="449"/>
      <c r="AB322" s="449"/>
      <c r="AC322" s="450"/>
      <c r="AD322" s="450"/>
      <c r="AE322" s="450"/>
      <c r="AF322" s="449"/>
      <c r="AG322" s="450"/>
    </row>
    <row r="323" spans="1:33" ht="15.5">
      <c r="A323" s="79" t="s">
        <v>300</v>
      </c>
      <c r="B323" s="83" t="s">
        <v>339</v>
      </c>
      <c r="C323" s="81"/>
      <c r="D323" s="82">
        <v>198640</v>
      </c>
      <c r="E323" s="82">
        <v>10</v>
      </c>
      <c r="F323" s="447">
        <f t="shared" si="20"/>
        <v>19487</v>
      </c>
      <c r="G323" s="448">
        <f t="shared" si="21"/>
        <v>20721</v>
      </c>
      <c r="H323" s="449">
        <v>6460</v>
      </c>
      <c r="I323" s="471">
        <v>7398</v>
      </c>
      <c r="J323" s="449">
        <v>2176</v>
      </c>
      <c r="K323" s="471">
        <v>2419</v>
      </c>
      <c r="L323" s="449">
        <v>10782</v>
      </c>
      <c r="M323" s="449">
        <v>69</v>
      </c>
      <c r="N323" s="449">
        <v>0</v>
      </c>
      <c r="O323" s="471">
        <v>10889</v>
      </c>
      <c r="P323" s="471">
        <v>15</v>
      </c>
      <c r="Q323" s="450">
        <v>0</v>
      </c>
      <c r="R323" s="449"/>
      <c r="S323" s="450"/>
      <c r="T323" s="447">
        <f t="shared" si="22"/>
        <v>0</v>
      </c>
      <c r="U323" s="448">
        <f t="shared" si="23"/>
        <v>0</v>
      </c>
      <c r="V323" s="449"/>
      <c r="W323" s="450"/>
      <c r="X323" s="449"/>
      <c r="Y323" s="450"/>
      <c r="Z323" s="449"/>
      <c r="AA323" s="449"/>
      <c r="AB323" s="449"/>
      <c r="AC323" s="450"/>
      <c r="AD323" s="450"/>
      <c r="AE323" s="450"/>
      <c r="AF323" s="449"/>
      <c r="AG323" s="450"/>
    </row>
    <row r="324" spans="1:33" ht="15.5">
      <c r="A324" s="79" t="s">
        <v>300</v>
      </c>
      <c r="B324" s="83" t="s">
        <v>340</v>
      </c>
      <c r="C324" s="84"/>
      <c r="D324" s="82">
        <v>198668</v>
      </c>
      <c r="E324" s="82">
        <v>10</v>
      </c>
      <c r="F324" s="447">
        <f t="shared" si="20"/>
        <v>29095</v>
      </c>
      <c r="G324" s="448">
        <f t="shared" si="21"/>
        <v>32073</v>
      </c>
      <c r="H324" s="449">
        <v>13924</v>
      </c>
      <c r="I324" s="471">
        <v>16871</v>
      </c>
      <c r="J324" s="449">
        <v>1200</v>
      </c>
      <c r="K324" s="471">
        <v>1005</v>
      </c>
      <c r="L324" s="449">
        <v>13971</v>
      </c>
      <c r="M324" s="449">
        <v>0</v>
      </c>
      <c r="N324" s="449">
        <v>0</v>
      </c>
      <c r="O324" s="471">
        <v>14197</v>
      </c>
      <c r="P324" s="471">
        <v>0</v>
      </c>
      <c r="Q324" s="450">
        <v>0</v>
      </c>
      <c r="R324" s="449"/>
      <c r="S324" s="450"/>
      <c r="T324" s="447">
        <f t="shared" si="22"/>
        <v>0</v>
      </c>
      <c r="U324" s="448">
        <f t="shared" si="23"/>
        <v>0</v>
      </c>
      <c r="V324" s="449"/>
      <c r="W324" s="450"/>
      <c r="X324" s="449"/>
      <c r="Y324" s="450"/>
      <c r="Z324" s="449"/>
      <c r="AA324" s="449"/>
      <c r="AB324" s="449"/>
      <c r="AC324" s="450"/>
      <c r="AD324" s="450"/>
      <c r="AE324" s="450"/>
      <c r="AF324" s="449"/>
      <c r="AG324" s="450"/>
    </row>
    <row r="325" spans="1:33" ht="15.5">
      <c r="A325" s="79" t="s">
        <v>300</v>
      </c>
      <c r="B325" s="83" t="s">
        <v>341</v>
      </c>
      <c r="C325" s="84"/>
      <c r="D325" s="82">
        <v>198710</v>
      </c>
      <c r="E325" s="82">
        <v>10</v>
      </c>
      <c r="F325" s="447">
        <f t="shared" si="20"/>
        <v>42760</v>
      </c>
      <c r="G325" s="448">
        <f t="shared" si="21"/>
        <v>43635</v>
      </c>
      <c r="H325" s="449">
        <v>15276</v>
      </c>
      <c r="I325" s="471">
        <v>14197</v>
      </c>
      <c r="J325" s="449">
        <v>4313</v>
      </c>
      <c r="K325" s="471">
        <v>4296</v>
      </c>
      <c r="L325" s="449">
        <v>23171</v>
      </c>
      <c r="M325" s="449">
        <v>0</v>
      </c>
      <c r="N325" s="449">
        <v>0</v>
      </c>
      <c r="O325" s="471">
        <v>25142</v>
      </c>
      <c r="P325" s="471">
        <v>0</v>
      </c>
      <c r="Q325" s="450">
        <v>0</v>
      </c>
      <c r="R325" s="449"/>
      <c r="S325" s="450"/>
      <c r="T325" s="447">
        <f t="shared" si="22"/>
        <v>0</v>
      </c>
      <c r="U325" s="448">
        <f t="shared" si="23"/>
        <v>0</v>
      </c>
      <c r="V325" s="449"/>
      <c r="W325" s="450"/>
      <c r="X325" s="449"/>
      <c r="Y325" s="450"/>
      <c r="Z325" s="449"/>
      <c r="AA325" s="449"/>
      <c r="AB325" s="449"/>
      <c r="AC325" s="450"/>
      <c r="AD325" s="450"/>
      <c r="AE325" s="450"/>
      <c r="AF325" s="449"/>
      <c r="AG325" s="450"/>
    </row>
    <row r="326" spans="1:33" ht="15.5">
      <c r="A326" s="79" t="s">
        <v>300</v>
      </c>
      <c r="B326" s="83" t="s">
        <v>342</v>
      </c>
      <c r="C326" s="81"/>
      <c r="D326" s="82">
        <v>198729</v>
      </c>
      <c r="E326" s="82">
        <v>10</v>
      </c>
      <c r="F326" s="447">
        <f t="shared" si="20"/>
        <v>24765</v>
      </c>
      <c r="G326" s="448">
        <f t="shared" si="21"/>
        <v>25516</v>
      </c>
      <c r="H326" s="449">
        <v>10013</v>
      </c>
      <c r="I326" s="471">
        <v>10802</v>
      </c>
      <c r="J326" s="449">
        <v>952</v>
      </c>
      <c r="K326" s="471">
        <v>277</v>
      </c>
      <c r="L326" s="449">
        <v>12882</v>
      </c>
      <c r="M326" s="449">
        <v>918</v>
      </c>
      <c r="N326" s="449">
        <v>0</v>
      </c>
      <c r="O326" s="471">
        <v>13931</v>
      </c>
      <c r="P326" s="471">
        <v>506</v>
      </c>
      <c r="Q326" s="450">
        <v>0</v>
      </c>
      <c r="R326" s="449"/>
      <c r="S326" s="450"/>
      <c r="T326" s="447">
        <f t="shared" si="22"/>
        <v>0</v>
      </c>
      <c r="U326" s="448">
        <f t="shared" si="23"/>
        <v>0</v>
      </c>
      <c r="V326" s="449"/>
      <c r="W326" s="450"/>
      <c r="X326" s="449"/>
      <c r="Y326" s="450"/>
      <c r="Z326" s="449"/>
      <c r="AA326" s="449"/>
      <c r="AB326" s="449"/>
      <c r="AC326" s="450"/>
      <c r="AD326" s="450"/>
      <c r="AE326" s="450"/>
      <c r="AF326" s="449"/>
      <c r="AG326" s="450"/>
    </row>
    <row r="327" spans="1:33" ht="15.5">
      <c r="A327" s="79" t="s">
        <v>300</v>
      </c>
      <c r="B327" s="83" t="s">
        <v>345</v>
      </c>
      <c r="C327" s="81"/>
      <c r="D327" s="82">
        <v>198905</v>
      </c>
      <c r="E327" s="82">
        <v>10</v>
      </c>
      <c r="F327" s="447">
        <f t="shared" si="20"/>
        <v>15244.5</v>
      </c>
      <c r="G327" s="448">
        <f t="shared" si="21"/>
        <v>15682</v>
      </c>
      <c r="H327" s="449">
        <v>5202.5</v>
      </c>
      <c r="I327" s="471">
        <v>5404</v>
      </c>
      <c r="J327" s="449">
        <v>271</v>
      </c>
      <c r="K327" s="471">
        <v>257</v>
      </c>
      <c r="L327" s="449">
        <v>9771</v>
      </c>
      <c r="M327" s="449">
        <v>0</v>
      </c>
      <c r="N327" s="449">
        <v>0</v>
      </c>
      <c r="O327" s="471">
        <v>10021</v>
      </c>
      <c r="P327" s="471">
        <v>0</v>
      </c>
      <c r="Q327" s="450">
        <v>0</v>
      </c>
      <c r="R327" s="449"/>
      <c r="S327" s="450"/>
      <c r="T327" s="447">
        <f t="shared" si="22"/>
        <v>0</v>
      </c>
      <c r="U327" s="448">
        <f t="shared" si="23"/>
        <v>0</v>
      </c>
      <c r="V327" s="449"/>
      <c r="W327" s="450"/>
      <c r="X327" s="449"/>
      <c r="Y327" s="450"/>
      <c r="Z327" s="449"/>
      <c r="AA327" s="449"/>
      <c r="AB327" s="449"/>
      <c r="AC327" s="450"/>
      <c r="AD327" s="450"/>
      <c r="AE327" s="450"/>
      <c r="AF327" s="449"/>
      <c r="AG327" s="450"/>
    </row>
    <row r="328" spans="1:33" ht="15.5">
      <c r="A328" s="79" t="s">
        <v>300</v>
      </c>
      <c r="B328" s="83" t="s">
        <v>346</v>
      </c>
      <c r="C328" s="81"/>
      <c r="D328" s="82">
        <v>198914</v>
      </c>
      <c r="E328" s="82">
        <v>10</v>
      </c>
      <c r="F328" s="447">
        <f t="shared" si="20"/>
        <v>19417</v>
      </c>
      <c r="G328" s="448">
        <f t="shared" si="21"/>
        <v>19215</v>
      </c>
      <c r="H328" s="449">
        <v>8361</v>
      </c>
      <c r="I328" s="471">
        <v>8383</v>
      </c>
      <c r="J328" s="449">
        <v>3042</v>
      </c>
      <c r="K328" s="471">
        <v>3033</v>
      </c>
      <c r="L328" s="449">
        <v>7918</v>
      </c>
      <c r="M328" s="449">
        <v>0</v>
      </c>
      <c r="N328" s="449">
        <v>96</v>
      </c>
      <c r="O328" s="471">
        <v>7799</v>
      </c>
      <c r="P328" s="471">
        <v>0</v>
      </c>
      <c r="Q328" s="450">
        <v>0</v>
      </c>
      <c r="R328" s="449"/>
      <c r="S328" s="450"/>
      <c r="T328" s="447">
        <f t="shared" si="22"/>
        <v>0</v>
      </c>
      <c r="U328" s="448">
        <f t="shared" si="23"/>
        <v>0</v>
      </c>
      <c r="V328" s="449"/>
      <c r="W328" s="450"/>
      <c r="X328" s="449"/>
      <c r="Y328" s="450"/>
      <c r="Z328" s="449"/>
      <c r="AA328" s="449"/>
      <c r="AB328" s="449"/>
      <c r="AC328" s="450"/>
      <c r="AD328" s="450"/>
      <c r="AE328" s="450"/>
      <c r="AF328" s="449"/>
      <c r="AG328" s="450"/>
    </row>
    <row r="329" spans="1:33" ht="15.5">
      <c r="A329" s="79" t="s">
        <v>300</v>
      </c>
      <c r="B329" s="83" t="s">
        <v>347</v>
      </c>
      <c r="C329" s="81"/>
      <c r="D329" s="82">
        <v>198923</v>
      </c>
      <c r="E329" s="82">
        <v>10</v>
      </c>
      <c r="F329" s="447">
        <f t="shared" si="20"/>
        <v>21100</v>
      </c>
      <c r="G329" s="448">
        <f t="shared" si="21"/>
        <v>20973</v>
      </c>
      <c r="H329" s="449">
        <v>11468</v>
      </c>
      <c r="I329" s="471">
        <v>12338</v>
      </c>
      <c r="J329" s="449">
        <v>130</v>
      </c>
      <c r="K329" s="471">
        <v>424</v>
      </c>
      <c r="L329" s="449">
        <v>9460</v>
      </c>
      <c r="M329" s="449">
        <v>42</v>
      </c>
      <c r="N329" s="449">
        <v>0</v>
      </c>
      <c r="O329" s="471">
        <v>8148</v>
      </c>
      <c r="P329" s="471">
        <v>63</v>
      </c>
      <c r="Q329" s="450">
        <v>0</v>
      </c>
      <c r="R329" s="449"/>
      <c r="S329" s="450"/>
      <c r="T329" s="447">
        <f t="shared" si="22"/>
        <v>0</v>
      </c>
      <c r="U329" s="448">
        <f t="shared" si="23"/>
        <v>0</v>
      </c>
      <c r="V329" s="449"/>
      <c r="W329" s="450"/>
      <c r="X329" s="449"/>
      <c r="Y329" s="450"/>
      <c r="Z329" s="449"/>
      <c r="AA329" s="449"/>
      <c r="AB329" s="449"/>
      <c r="AC329" s="450"/>
      <c r="AD329" s="450"/>
      <c r="AE329" s="450"/>
      <c r="AF329" s="449"/>
      <c r="AG329" s="450"/>
    </row>
    <row r="330" spans="1:33" ht="15.5">
      <c r="A330" s="79" t="s">
        <v>300</v>
      </c>
      <c r="B330" s="83" t="s">
        <v>349</v>
      </c>
      <c r="C330" s="81"/>
      <c r="D330" s="82">
        <v>199023</v>
      </c>
      <c r="E330" s="82">
        <v>10</v>
      </c>
      <c r="F330" s="447">
        <f t="shared" si="20"/>
        <v>17699</v>
      </c>
      <c r="G330" s="448">
        <f t="shared" si="21"/>
        <v>18090</v>
      </c>
      <c r="H330" s="449">
        <v>7683</v>
      </c>
      <c r="I330" s="471">
        <v>10885</v>
      </c>
      <c r="J330" s="449">
        <v>597</v>
      </c>
      <c r="K330" s="471">
        <v>364</v>
      </c>
      <c r="L330" s="449">
        <v>9419</v>
      </c>
      <c r="M330" s="449">
        <v>0</v>
      </c>
      <c r="N330" s="449">
        <v>0</v>
      </c>
      <c r="O330" s="471">
        <v>6841</v>
      </c>
      <c r="P330" s="471">
        <v>0</v>
      </c>
      <c r="Q330" s="450">
        <v>0</v>
      </c>
      <c r="R330" s="449"/>
      <c r="S330" s="450"/>
      <c r="T330" s="447">
        <f t="shared" si="22"/>
        <v>0</v>
      </c>
      <c r="U330" s="448">
        <f t="shared" si="23"/>
        <v>0</v>
      </c>
      <c r="V330" s="449"/>
      <c r="W330" s="450"/>
      <c r="X330" s="449"/>
      <c r="Y330" s="450"/>
      <c r="Z330" s="449"/>
      <c r="AA330" s="449"/>
      <c r="AB330" s="449"/>
      <c r="AC330" s="450"/>
      <c r="AD330" s="450"/>
      <c r="AE330" s="450"/>
      <c r="AF330" s="449"/>
      <c r="AG330" s="450"/>
    </row>
    <row r="331" spans="1:33" ht="15.5">
      <c r="A331" s="79" t="s">
        <v>300</v>
      </c>
      <c r="B331" s="83" t="s">
        <v>351</v>
      </c>
      <c r="C331" s="81"/>
      <c r="D331" s="82">
        <v>199263</v>
      </c>
      <c r="E331" s="82">
        <v>10</v>
      </c>
      <c r="F331" s="447">
        <f t="shared" si="20"/>
        <v>11567</v>
      </c>
      <c r="G331" s="448">
        <f t="shared" si="21"/>
        <v>10636</v>
      </c>
      <c r="H331" s="449">
        <v>965</v>
      </c>
      <c r="I331" s="471">
        <v>1302</v>
      </c>
      <c r="J331" s="449">
        <v>4869</v>
      </c>
      <c r="K331" s="471">
        <v>3551</v>
      </c>
      <c r="L331" s="449">
        <v>5733</v>
      </c>
      <c r="M331" s="449">
        <v>0</v>
      </c>
      <c r="N331" s="449">
        <v>0</v>
      </c>
      <c r="O331" s="471">
        <v>5783</v>
      </c>
      <c r="P331" s="471">
        <v>0</v>
      </c>
      <c r="Q331" s="450">
        <v>0</v>
      </c>
      <c r="R331" s="449"/>
      <c r="S331" s="450"/>
      <c r="T331" s="447">
        <f t="shared" si="22"/>
        <v>0</v>
      </c>
      <c r="U331" s="448">
        <f t="shared" si="23"/>
        <v>0</v>
      </c>
      <c r="V331" s="449"/>
      <c r="W331" s="450"/>
      <c r="X331" s="449"/>
      <c r="Y331" s="450"/>
      <c r="Z331" s="449"/>
      <c r="AA331" s="449"/>
      <c r="AB331" s="449"/>
      <c r="AC331" s="450"/>
      <c r="AD331" s="450"/>
      <c r="AE331" s="450"/>
      <c r="AF331" s="449"/>
      <c r="AG331" s="450"/>
    </row>
    <row r="332" spans="1:33" ht="15.5">
      <c r="A332" s="79" t="s">
        <v>300</v>
      </c>
      <c r="B332" s="83" t="s">
        <v>352</v>
      </c>
      <c r="C332" s="81"/>
      <c r="D332" s="82">
        <v>199324</v>
      </c>
      <c r="E332" s="82">
        <v>10</v>
      </c>
      <c r="F332" s="447">
        <f t="shared" si="20"/>
        <v>20972</v>
      </c>
      <c r="G332" s="448">
        <f t="shared" si="21"/>
        <v>23736</v>
      </c>
      <c r="H332" s="449">
        <v>8697</v>
      </c>
      <c r="I332" s="471">
        <v>9047</v>
      </c>
      <c r="J332" s="449">
        <v>994</v>
      </c>
      <c r="K332" s="471">
        <v>903</v>
      </c>
      <c r="L332" s="449">
        <v>10206</v>
      </c>
      <c r="M332" s="449">
        <v>1075</v>
      </c>
      <c r="N332" s="449">
        <v>0</v>
      </c>
      <c r="O332" s="471">
        <v>13717</v>
      </c>
      <c r="P332" s="471">
        <v>69</v>
      </c>
      <c r="Q332" s="450">
        <v>0</v>
      </c>
      <c r="R332" s="449"/>
      <c r="S332" s="450"/>
      <c r="T332" s="447">
        <f t="shared" si="22"/>
        <v>0</v>
      </c>
      <c r="U332" s="448">
        <f t="shared" si="23"/>
        <v>0</v>
      </c>
      <c r="V332" s="449"/>
      <c r="W332" s="450"/>
      <c r="X332" s="449"/>
      <c r="Y332" s="450"/>
      <c r="Z332" s="449"/>
      <c r="AA332" s="449"/>
      <c r="AB332" s="449"/>
      <c r="AC332" s="450"/>
      <c r="AD332" s="450"/>
      <c r="AE332" s="450"/>
      <c r="AF332" s="449"/>
      <c r="AG332" s="450"/>
    </row>
    <row r="333" spans="1:33" ht="15.5">
      <c r="A333" s="79" t="s">
        <v>300</v>
      </c>
      <c r="B333" s="83" t="s">
        <v>356</v>
      </c>
      <c r="C333" s="81"/>
      <c r="D333" s="82">
        <v>199467</v>
      </c>
      <c r="E333" s="82">
        <v>10</v>
      </c>
      <c r="F333" s="447">
        <f t="shared" si="20"/>
        <v>14063</v>
      </c>
      <c r="G333" s="448">
        <f t="shared" si="21"/>
        <v>12583</v>
      </c>
      <c r="H333" s="449">
        <v>4912</v>
      </c>
      <c r="I333" s="471">
        <v>4555</v>
      </c>
      <c r="J333" s="449">
        <v>528</v>
      </c>
      <c r="K333" s="471">
        <v>358</v>
      </c>
      <c r="L333" s="449">
        <v>8576</v>
      </c>
      <c r="M333" s="449">
        <v>47</v>
      </c>
      <c r="N333" s="449">
        <v>0</v>
      </c>
      <c r="O333" s="471">
        <v>7670</v>
      </c>
      <c r="P333" s="471">
        <v>0</v>
      </c>
      <c r="Q333" s="450">
        <v>0</v>
      </c>
      <c r="R333" s="449"/>
      <c r="S333" s="450"/>
      <c r="T333" s="447">
        <f t="shared" si="22"/>
        <v>0</v>
      </c>
      <c r="U333" s="448">
        <f t="shared" si="23"/>
        <v>0</v>
      </c>
      <c r="V333" s="449"/>
      <c r="W333" s="450"/>
      <c r="X333" s="449"/>
      <c r="Y333" s="450"/>
      <c r="Z333" s="449"/>
      <c r="AA333" s="449"/>
      <c r="AB333" s="449"/>
      <c r="AC333" s="450"/>
      <c r="AD333" s="450"/>
      <c r="AE333" s="450"/>
      <c r="AF333" s="449"/>
      <c r="AG333" s="450"/>
    </row>
    <row r="334" spans="1:33" ht="15.5">
      <c r="A334" s="79" t="s">
        <v>300</v>
      </c>
      <c r="B334" s="83" t="s">
        <v>357</v>
      </c>
      <c r="C334" s="120"/>
      <c r="D334" s="82">
        <v>199476</v>
      </c>
      <c r="E334" s="82">
        <v>10</v>
      </c>
      <c r="F334" s="447">
        <f t="shared" si="20"/>
        <v>37570</v>
      </c>
      <c r="G334" s="448">
        <f t="shared" si="21"/>
        <v>37918</v>
      </c>
      <c r="H334" s="449">
        <v>20219</v>
      </c>
      <c r="I334" s="471">
        <v>22357</v>
      </c>
      <c r="J334" s="449">
        <v>557</v>
      </c>
      <c r="K334" s="471">
        <v>454</v>
      </c>
      <c r="L334" s="449">
        <v>16794</v>
      </c>
      <c r="M334" s="449">
        <v>0</v>
      </c>
      <c r="N334" s="449">
        <v>0</v>
      </c>
      <c r="O334" s="471">
        <v>15107</v>
      </c>
      <c r="P334" s="471">
        <v>0</v>
      </c>
      <c r="Q334" s="450">
        <v>0</v>
      </c>
      <c r="R334" s="449"/>
      <c r="S334" s="450"/>
      <c r="T334" s="447">
        <f t="shared" si="22"/>
        <v>0</v>
      </c>
      <c r="U334" s="448">
        <f t="shared" si="23"/>
        <v>0</v>
      </c>
      <c r="V334" s="449"/>
      <c r="W334" s="450"/>
      <c r="X334" s="449"/>
      <c r="Y334" s="450"/>
      <c r="Z334" s="449"/>
      <c r="AA334" s="449"/>
      <c r="AB334" s="449"/>
      <c r="AC334" s="450"/>
      <c r="AD334" s="450"/>
      <c r="AE334" s="450"/>
      <c r="AF334" s="449"/>
      <c r="AG334" s="450"/>
    </row>
    <row r="335" spans="1:33" ht="15.5">
      <c r="A335" s="79" t="s">
        <v>300</v>
      </c>
      <c r="B335" s="83" t="s">
        <v>358</v>
      </c>
      <c r="C335" s="119"/>
      <c r="D335" s="82">
        <v>199485</v>
      </c>
      <c r="E335" s="82">
        <v>10</v>
      </c>
      <c r="F335" s="447">
        <f t="shared" si="20"/>
        <v>35128</v>
      </c>
      <c r="G335" s="448">
        <f t="shared" si="21"/>
        <v>36130</v>
      </c>
      <c r="H335" s="449">
        <v>22277</v>
      </c>
      <c r="I335" s="471">
        <v>22600</v>
      </c>
      <c r="J335" s="449">
        <v>10</v>
      </c>
      <c r="K335" s="471">
        <v>993</v>
      </c>
      <c r="L335" s="449">
        <v>12585</v>
      </c>
      <c r="M335" s="449">
        <v>256</v>
      </c>
      <c r="N335" s="449">
        <v>0</v>
      </c>
      <c r="O335" s="471">
        <v>12438</v>
      </c>
      <c r="P335" s="471">
        <v>99</v>
      </c>
      <c r="Q335" s="450">
        <v>0</v>
      </c>
      <c r="R335" s="449"/>
      <c r="S335" s="450"/>
      <c r="T335" s="447">
        <f t="shared" si="22"/>
        <v>0</v>
      </c>
      <c r="U335" s="448">
        <f t="shared" si="23"/>
        <v>0</v>
      </c>
      <c r="V335" s="449"/>
      <c r="W335" s="450"/>
      <c r="X335" s="449"/>
      <c r="Y335" s="450"/>
      <c r="Z335" s="449"/>
      <c r="AA335" s="449"/>
      <c r="AB335" s="449"/>
      <c r="AC335" s="450"/>
      <c r="AD335" s="450"/>
      <c r="AE335" s="450"/>
      <c r="AF335" s="449"/>
      <c r="AG335" s="450"/>
    </row>
    <row r="336" spans="1:33" ht="15.5">
      <c r="A336" s="79" t="s">
        <v>300</v>
      </c>
      <c r="B336" s="83" t="s">
        <v>360</v>
      </c>
      <c r="C336" s="119"/>
      <c r="D336" s="82">
        <v>199625</v>
      </c>
      <c r="E336" s="82">
        <v>10</v>
      </c>
      <c r="F336" s="447">
        <f t="shared" si="20"/>
        <v>33951</v>
      </c>
      <c r="G336" s="448">
        <f t="shared" si="21"/>
        <v>36369</v>
      </c>
      <c r="H336" s="449">
        <v>12828</v>
      </c>
      <c r="I336" s="471">
        <v>13168</v>
      </c>
      <c r="J336" s="449">
        <v>76</v>
      </c>
      <c r="K336" s="471">
        <v>52</v>
      </c>
      <c r="L336" s="449">
        <v>21047</v>
      </c>
      <c r="M336" s="449">
        <v>0</v>
      </c>
      <c r="N336" s="449">
        <v>0</v>
      </c>
      <c r="O336" s="471">
        <v>23149</v>
      </c>
      <c r="P336" s="471">
        <v>0</v>
      </c>
      <c r="Q336" s="450">
        <v>0</v>
      </c>
      <c r="R336" s="449"/>
      <c r="S336" s="450"/>
      <c r="T336" s="447">
        <f t="shared" si="22"/>
        <v>0</v>
      </c>
      <c r="U336" s="448">
        <f t="shared" si="23"/>
        <v>0</v>
      </c>
      <c r="V336" s="449"/>
      <c r="W336" s="450"/>
      <c r="X336" s="449"/>
      <c r="Y336" s="450"/>
      <c r="Z336" s="449"/>
      <c r="AA336" s="449"/>
      <c r="AB336" s="449"/>
      <c r="AC336" s="450"/>
      <c r="AD336" s="450"/>
      <c r="AE336" s="450"/>
      <c r="AF336" s="449"/>
      <c r="AG336" s="450"/>
    </row>
    <row r="337" spans="1:33" ht="15.5">
      <c r="A337" s="79" t="s">
        <v>300</v>
      </c>
      <c r="B337" s="83" t="s">
        <v>363</v>
      </c>
      <c r="C337" s="119"/>
      <c r="D337" s="82">
        <v>199722</v>
      </c>
      <c r="E337" s="82">
        <v>10</v>
      </c>
      <c r="F337" s="447">
        <f t="shared" si="20"/>
        <v>29839</v>
      </c>
      <c r="G337" s="448">
        <f t="shared" si="21"/>
        <v>31548</v>
      </c>
      <c r="H337" s="449">
        <v>13132</v>
      </c>
      <c r="I337" s="471">
        <v>14091</v>
      </c>
      <c r="J337" s="449">
        <v>564</v>
      </c>
      <c r="K337" s="471">
        <v>945</v>
      </c>
      <c r="L337" s="449">
        <v>15972</v>
      </c>
      <c r="M337" s="449">
        <v>171</v>
      </c>
      <c r="N337" s="449">
        <v>0</v>
      </c>
      <c r="O337" s="471">
        <v>16512</v>
      </c>
      <c r="P337" s="471">
        <v>0</v>
      </c>
      <c r="Q337" s="450">
        <v>0</v>
      </c>
      <c r="R337" s="449"/>
      <c r="S337" s="450"/>
      <c r="T337" s="447">
        <f t="shared" si="22"/>
        <v>0</v>
      </c>
      <c r="U337" s="448">
        <f t="shared" si="23"/>
        <v>0</v>
      </c>
      <c r="V337" s="449"/>
      <c r="W337" s="450"/>
      <c r="X337" s="449"/>
      <c r="Y337" s="450"/>
      <c r="Z337" s="449"/>
      <c r="AA337" s="449"/>
      <c r="AB337" s="449"/>
      <c r="AC337" s="450"/>
      <c r="AD337" s="450"/>
      <c r="AE337" s="450"/>
      <c r="AF337" s="449"/>
      <c r="AG337" s="450"/>
    </row>
    <row r="338" spans="1:33" ht="15.5">
      <c r="A338" s="79" t="s">
        <v>300</v>
      </c>
      <c r="B338" s="83" t="s">
        <v>364</v>
      </c>
      <c r="C338" s="119"/>
      <c r="D338" s="82">
        <v>199731</v>
      </c>
      <c r="E338" s="82">
        <v>10</v>
      </c>
      <c r="F338" s="447">
        <f t="shared" ref="F338:F401" si="24">SUM(H338,J338,L338,M338,N338,R338)</f>
        <v>47094</v>
      </c>
      <c r="G338" s="448">
        <f t="shared" ref="G338:G401" si="25">SUM(I338,K338,O338,P338,Q338,S338)</f>
        <v>46377</v>
      </c>
      <c r="H338" s="449">
        <v>26916</v>
      </c>
      <c r="I338" s="471">
        <v>26769</v>
      </c>
      <c r="J338" s="449">
        <v>1489</v>
      </c>
      <c r="K338" s="471">
        <v>1461</v>
      </c>
      <c r="L338" s="449">
        <v>18609</v>
      </c>
      <c r="M338" s="449">
        <v>80</v>
      </c>
      <c r="N338" s="449">
        <v>0</v>
      </c>
      <c r="O338" s="471">
        <v>18147</v>
      </c>
      <c r="P338" s="471">
        <v>0</v>
      </c>
      <c r="Q338" s="450">
        <v>0</v>
      </c>
      <c r="R338" s="449"/>
      <c r="S338" s="450"/>
      <c r="T338" s="447">
        <f t="shared" ref="T338:T401" si="26">SUM(V338,X338,Z338,AA338,AB338,AF338)</f>
        <v>0</v>
      </c>
      <c r="U338" s="448">
        <f t="shared" ref="U338:U401" si="27">SUM(W338,Y338,AC338,AD338,AE338,AG338)</f>
        <v>0</v>
      </c>
      <c r="V338" s="449"/>
      <c r="W338" s="450"/>
      <c r="X338" s="449"/>
      <c r="Y338" s="450"/>
      <c r="Z338" s="449"/>
      <c r="AA338" s="449"/>
      <c r="AB338" s="449"/>
      <c r="AC338" s="450"/>
      <c r="AD338" s="450"/>
      <c r="AE338" s="450"/>
      <c r="AF338" s="449"/>
      <c r="AG338" s="450"/>
    </row>
    <row r="339" spans="1:33" ht="15.5">
      <c r="A339" s="79" t="s">
        <v>300</v>
      </c>
      <c r="B339" s="83" t="s">
        <v>367</v>
      </c>
      <c r="C339" s="119"/>
      <c r="D339" s="82">
        <v>199795</v>
      </c>
      <c r="E339" s="82">
        <v>10</v>
      </c>
      <c r="F339" s="447">
        <f t="shared" si="24"/>
        <v>21178</v>
      </c>
      <c r="G339" s="448">
        <f t="shared" si="25"/>
        <v>23090</v>
      </c>
      <c r="H339" s="449">
        <v>6195</v>
      </c>
      <c r="I339" s="471">
        <v>5879</v>
      </c>
      <c r="J339" s="449">
        <v>1369</v>
      </c>
      <c r="K339" s="471">
        <v>1875</v>
      </c>
      <c r="L339" s="449">
        <v>13569</v>
      </c>
      <c r="M339" s="449">
        <v>45</v>
      </c>
      <c r="N339" s="449">
        <v>0</v>
      </c>
      <c r="O339" s="471">
        <v>15336</v>
      </c>
      <c r="P339" s="471">
        <v>0</v>
      </c>
      <c r="Q339" s="450">
        <v>0</v>
      </c>
      <c r="R339" s="449"/>
      <c r="S339" s="450"/>
      <c r="T339" s="447">
        <f t="shared" si="26"/>
        <v>0</v>
      </c>
      <c r="U339" s="448">
        <f t="shared" si="27"/>
        <v>0</v>
      </c>
      <c r="V339" s="449"/>
      <c r="W339" s="450"/>
      <c r="X339" s="449"/>
      <c r="Y339" s="450"/>
      <c r="Z339" s="449"/>
      <c r="AA339" s="449"/>
      <c r="AB339" s="449"/>
      <c r="AC339" s="450"/>
      <c r="AD339" s="450"/>
      <c r="AE339" s="450"/>
      <c r="AF339" s="449"/>
      <c r="AG339" s="450"/>
    </row>
    <row r="340" spans="1:33" ht="15.5">
      <c r="A340" s="79" t="s">
        <v>300</v>
      </c>
      <c r="B340" s="83" t="s">
        <v>371</v>
      </c>
      <c r="C340" s="120"/>
      <c r="D340" s="82">
        <v>199908</v>
      </c>
      <c r="E340" s="82">
        <v>10</v>
      </c>
      <c r="F340" s="447">
        <f t="shared" si="24"/>
        <v>37769</v>
      </c>
      <c r="G340" s="448">
        <f t="shared" si="25"/>
        <v>40720</v>
      </c>
      <c r="H340" s="449">
        <v>22497</v>
      </c>
      <c r="I340" s="471">
        <v>22494</v>
      </c>
      <c r="J340" s="449">
        <v>1377</v>
      </c>
      <c r="K340" s="471">
        <v>2735</v>
      </c>
      <c r="L340" s="449">
        <v>13895</v>
      </c>
      <c r="M340" s="449">
        <v>0</v>
      </c>
      <c r="N340" s="449">
        <v>0</v>
      </c>
      <c r="O340" s="471">
        <v>15491</v>
      </c>
      <c r="P340" s="471">
        <v>0</v>
      </c>
      <c r="Q340" s="450">
        <v>0</v>
      </c>
      <c r="R340" s="449"/>
      <c r="S340" s="450"/>
      <c r="T340" s="447">
        <f t="shared" si="26"/>
        <v>0</v>
      </c>
      <c r="U340" s="448">
        <f t="shared" si="27"/>
        <v>0</v>
      </c>
      <c r="V340" s="449"/>
      <c r="W340" s="450"/>
      <c r="X340" s="449"/>
      <c r="Y340" s="450"/>
      <c r="Z340" s="449"/>
      <c r="AA340" s="449"/>
      <c r="AB340" s="449"/>
      <c r="AC340" s="450"/>
      <c r="AD340" s="450"/>
      <c r="AE340" s="450"/>
      <c r="AF340" s="449"/>
      <c r="AG340" s="450"/>
    </row>
    <row r="341" spans="1:33" ht="15.5">
      <c r="A341" s="79" t="s">
        <v>300</v>
      </c>
      <c r="B341" s="83" t="s">
        <v>373</v>
      </c>
      <c r="C341" s="81"/>
      <c r="D341" s="82">
        <v>199953</v>
      </c>
      <c r="E341" s="82">
        <v>10</v>
      </c>
      <c r="F341" s="447">
        <f t="shared" si="24"/>
        <v>34679</v>
      </c>
      <c r="G341" s="448">
        <f t="shared" si="25"/>
        <v>35058.5</v>
      </c>
      <c r="H341" s="449">
        <v>11687</v>
      </c>
      <c r="I341" s="471">
        <v>12226.5</v>
      </c>
      <c r="J341" s="449">
        <v>1073</v>
      </c>
      <c r="K341" s="471">
        <v>1270</v>
      </c>
      <c r="L341" s="449">
        <v>21919</v>
      </c>
      <c r="M341" s="449">
        <v>0</v>
      </c>
      <c r="N341" s="449">
        <v>0</v>
      </c>
      <c r="O341" s="471">
        <v>21562</v>
      </c>
      <c r="P341" s="471">
        <v>0</v>
      </c>
      <c r="Q341" s="450">
        <v>0</v>
      </c>
      <c r="R341" s="449"/>
      <c r="S341" s="450"/>
      <c r="T341" s="447">
        <f t="shared" si="26"/>
        <v>0</v>
      </c>
      <c r="U341" s="448">
        <f t="shared" si="27"/>
        <v>0</v>
      </c>
      <c r="V341" s="449"/>
      <c r="W341" s="450"/>
      <c r="X341" s="449"/>
      <c r="Y341" s="450"/>
      <c r="Z341" s="449"/>
      <c r="AA341" s="449"/>
      <c r="AB341" s="449"/>
      <c r="AC341" s="450"/>
      <c r="AD341" s="450"/>
      <c r="AE341" s="450"/>
      <c r="AF341" s="449"/>
      <c r="AG341" s="450"/>
    </row>
    <row r="342" spans="1:33">
      <c r="A342" s="90" t="s">
        <v>374</v>
      </c>
      <c r="B342" s="87" t="s">
        <v>375</v>
      </c>
      <c r="C342" s="14"/>
      <c r="D342" s="55">
        <v>207388</v>
      </c>
      <c r="E342" s="55">
        <v>1</v>
      </c>
      <c r="F342" s="447">
        <f t="shared" si="24"/>
        <v>580598</v>
      </c>
      <c r="G342" s="448">
        <f t="shared" si="25"/>
        <v>580065</v>
      </c>
      <c r="H342" s="449">
        <v>478704</v>
      </c>
      <c r="I342" s="450">
        <v>473692</v>
      </c>
      <c r="J342" s="449">
        <v>5052</v>
      </c>
      <c r="K342" s="450">
        <v>5007</v>
      </c>
      <c r="L342" s="449">
        <v>96842</v>
      </c>
      <c r="M342" s="449">
        <v>0</v>
      </c>
      <c r="N342" s="449">
        <v>0</v>
      </c>
      <c r="O342" s="472">
        <v>101366</v>
      </c>
      <c r="P342" s="450">
        <v>0</v>
      </c>
      <c r="Q342" s="450">
        <v>0</v>
      </c>
      <c r="R342" s="449">
        <v>0</v>
      </c>
      <c r="S342" s="450">
        <v>0</v>
      </c>
      <c r="T342" s="447">
        <f t="shared" si="26"/>
        <v>73570</v>
      </c>
      <c r="U342" s="448">
        <f t="shared" si="27"/>
        <v>80424</v>
      </c>
      <c r="V342" s="449">
        <v>55279</v>
      </c>
      <c r="W342" s="450">
        <v>55643</v>
      </c>
      <c r="X342" s="449">
        <v>1717</v>
      </c>
      <c r="Y342" s="450">
        <v>1842</v>
      </c>
      <c r="Z342" s="449">
        <v>16574</v>
      </c>
      <c r="AA342" s="449">
        <v>0</v>
      </c>
      <c r="AB342" s="449">
        <v>0</v>
      </c>
      <c r="AC342" s="450">
        <v>22939</v>
      </c>
      <c r="AD342" s="450">
        <v>0</v>
      </c>
      <c r="AE342" s="450">
        <v>0</v>
      </c>
      <c r="AF342" s="449">
        <v>0</v>
      </c>
      <c r="AG342" s="450">
        <v>0</v>
      </c>
    </row>
    <row r="343" spans="1:33">
      <c r="A343" s="90" t="s">
        <v>374</v>
      </c>
      <c r="B343" s="87" t="s">
        <v>376</v>
      </c>
      <c r="C343" s="14"/>
      <c r="D343" s="55">
        <v>207500</v>
      </c>
      <c r="E343" s="55">
        <v>1</v>
      </c>
      <c r="F343" s="447">
        <f t="shared" si="24"/>
        <v>627476</v>
      </c>
      <c r="G343" s="448">
        <f t="shared" si="25"/>
        <v>630143</v>
      </c>
      <c r="H343" s="449">
        <v>540677</v>
      </c>
      <c r="I343" s="450">
        <v>533767</v>
      </c>
      <c r="J343" s="449">
        <v>9562</v>
      </c>
      <c r="K343" s="450">
        <v>11620</v>
      </c>
      <c r="L343" s="449">
        <v>76294</v>
      </c>
      <c r="M343" s="449">
        <v>195</v>
      </c>
      <c r="N343" s="449">
        <v>748</v>
      </c>
      <c r="O343" s="472">
        <v>83696</v>
      </c>
      <c r="P343" s="468">
        <v>297</v>
      </c>
      <c r="Q343" s="450">
        <v>763</v>
      </c>
      <c r="R343" s="449">
        <v>0</v>
      </c>
      <c r="S343" s="450">
        <v>0</v>
      </c>
      <c r="T343" s="447">
        <f t="shared" si="26"/>
        <v>151150</v>
      </c>
      <c r="U343" s="448">
        <f t="shared" si="27"/>
        <v>160955</v>
      </c>
      <c r="V343" s="449">
        <v>108539</v>
      </c>
      <c r="W343" s="450">
        <v>119775</v>
      </c>
      <c r="X343" s="449">
        <v>12819</v>
      </c>
      <c r="Y343" s="450">
        <v>12848</v>
      </c>
      <c r="Z343" s="449">
        <v>27819</v>
      </c>
      <c r="AA343" s="449">
        <v>261</v>
      </c>
      <c r="AB343" s="449">
        <v>1712</v>
      </c>
      <c r="AC343" s="450">
        <v>26250</v>
      </c>
      <c r="AD343" s="450">
        <v>357</v>
      </c>
      <c r="AE343" s="450">
        <v>1725</v>
      </c>
      <c r="AF343" s="449">
        <v>0</v>
      </c>
      <c r="AG343" s="450">
        <v>0</v>
      </c>
    </row>
    <row r="344" spans="1:33">
      <c r="A344" s="122" t="s">
        <v>374</v>
      </c>
      <c r="B344" s="87" t="s">
        <v>377</v>
      </c>
      <c r="C344" s="14"/>
      <c r="D344" s="55">
        <v>207263</v>
      </c>
      <c r="E344" s="55">
        <v>3</v>
      </c>
      <c r="F344" s="447">
        <f t="shared" si="24"/>
        <v>164589</v>
      </c>
      <c r="G344" s="448">
        <f t="shared" si="25"/>
        <v>164102</v>
      </c>
      <c r="H344" s="449">
        <v>101883</v>
      </c>
      <c r="I344" s="450">
        <v>99194</v>
      </c>
      <c r="J344" s="449">
        <v>0</v>
      </c>
      <c r="K344" s="450">
        <v>0</v>
      </c>
      <c r="L344" s="449">
        <v>60697</v>
      </c>
      <c r="M344" s="449">
        <v>2009</v>
      </c>
      <c r="N344" s="449">
        <v>0</v>
      </c>
      <c r="O344" s="472">
        <v>62727</v>
      </c>
      <c r="P344" s="450">
        <v>2181</v>
      </c>
      <c r="Q344" s="450">
        <v>0</v>
      </c>
      <c r="R344" s="449">
        <v>0</v>
      </c>
      <c r="S344" s="450">
        <v>0</v>
      </c>
      <c r="T344" s="447">
        <f t="shared" si="26"/>
        <v>21177</v>
      </c>
      <c r="U344" s="448">
        <f t="shared" si="27"/>
        <v>21954</v>
      </c>
      <c r="V344" s="449">
        <v>13572</v>
      </c>
      <c r="W344" s="450">
        <v>13657</v>
      </c>
      <c r="X344" s="449">
        <v>0</v>
      </c>
      <c r="Y344" s="450">
        <v>0</v>
      </c>
      <c r="Z344" s="449">
        <v>6812</v>
      </c>
      <c r="AA344" s="449">
        <v>793</v>
      </c>
      <c r="AB344" s="449">
        <v>0</v>
      </c>
      <c r="AC344" s="450">
        <v>7352</v>
      </c>
      <c r="AD344" s="450">
        <v>945</v>
      </c>
      <c r="AE344" s="450">
        <v>0</v>
      </c>
      <c r="AF344" s="449">
        <v>0</v>
      </c>
      <c r="AG344" s="450">
        <v>0</v>
      </c>
    </row>
    <row r="345" spans="1:33" s="27" customFormat="1" ht="13.5" customHeight="1">
      <c r="A345" s="90" t="s">
        <v>374</v>
      </c>
      <c r="B345" s="87" t="s">
        <v>378</v>
      </c>
      <c r="C345" s="14" t="s">
        <v>806</v>
      </c>
      <c r="D345" s="55">
        <v>206941</v>
      </c>
      <c r="E345" s="55">
        <v>3</v>
      </c>
      <c r="F345" s="447">
        <f t="shared" si="24"/>
        <v>350254</v>
      </c>
      <c r="G345" s="448">
        <f t="shared" si="25"/>
        <v>339517</v>
      </c>
      <c r="H345" s="449">
        <v>274902</v>
      </c>
      <c r="I345" s="450">
        <v>262783</v>
      </c>
      <c r="J345" s="449">
        <v>5148</v>
      </c>
      <c r="K345" s="468">
        <v>2101</v>
      </c>
      <c r="L345" s="449">
        <v>65180</v>
      </c>
      <c r="M345" s="449">
        <v>1111</v>
      </c>
      <c r="N345" s="449">
        <v>3913</v>
      </c>
      <c r="O345" s="472">
        <v>69933</v>
      </c>
      <c r="P345" s="450">
        <v>586</v>
      </c>
      <c r="Q345" s="450">
        <v>4114</v>
      </c>
      <c r="R345" s="449">
        <v>0</v>
      </c>
      <c r="S345" s="450">
        <v>0</v>
      </c>
      <c r="T345" s="447">
        <f t="shared" si="26"/>
        <v>23721</v>
      </c>
      <c r="U345" s="448">
        <f t="shared" si="27"/>
        <v>23155</v>
      </c>
      <c r="V345" s="449">
        <v>20798</v>
      </c>
      <c r="W345" s="450">
        <v>19681</v>
      </c>
      <c r="X345" s="449">
        <v>201</v>
      </c>
      <c r="Y345" s="450">
        <v>120</v>
      </c>
      <c r="Z345" s="449">
        <v>1267</v>
      </c>
      <c r="AA345" s="449">
        <v>21</v>
      </c>
      <c r="AB345" s="449">
        <v>1434</v>
      </c>
      <c r="AC345" s="450">
        <v>1780</v>
      </c>
      <c r="AD345" s="450">
        <v>15</v>
      </c>
      <c r="AE345" s="450">
        <v>1559</v>
      </c>
      <c r="AF345" s="449">
        <v>0</v>
      </c>
      <c r="AG345" s="450">
        <v>0</v>
      </c>
    </row>
    <row r="346" spans="1:33">
      <c r="A346" s="90" t="s">
        <v>374</v>
      </c>
      <c r="B346" s="87" t="s">
        <v>379</v>
      </c>
      <c r="C346" s="125"/>
      <c r="D346" s="55">
        <v>207847</v>
      </c>
      <c r="E346" s="55">
        <v>4</v>
      </c>
      <c r="F346" s="447">
        <f t="shared" si="24"/>
        <v>80099</v>
      </c>
      <c r="G346" s="448">
        <f t="shared" si="25"/>
        <v>78667</v>
      </c>
      <c r="H346" s="449">
        <v>44034</v>
      </c>
      <c r="I346" s="450">
        <v>42422</v>
      </c>
      <c r="J346" s="449">
        <v>731</v>
      </c>
      <c r="K346" s="450">
        <v>799</v>
      </c>
      <c r="L346" s="449">
        <v>33751</v>
      </c>
      <c r="M346" s="449">
        <v>609</v>
      </c>
      <c r="N346" s="449">
        <v>974</v>
      </c>
      <c r="O346" s="472">
        <v>33817</v>
      </c>
      <c r="P346" s="468">
        <v>1113</v>
      </c>
      <c r="Q346" s="450">
        <v>516</v>
      </c>
      <c r="R346" s="449">
        <v>0</v>
      </c>
      <c r="S346" s="450">
        <v>0</v>
      </c>
      <c r="T346" s="447">
        <f t="shared" si="26"/>
        <v>23387</v>
      </c>
      <c r="U346" s="448">
        <f t="shared" si="27"/>
        <v>26195</v>
      </c>
      <c r="V346" s="449">
        <v>1810</v>
      </c>
      <c r="W346" s="468">
        <v>867</v>
      </c>
      <c r="X346" s="449">
        <v>963</v>
      </c>
      <c r="Y346" s="450">
        <v>879</v>
      </c>
      <c r="Z346" s="449">
        <v>20614</v>
      </c>
      <c r="AA346" s="449">
        <v>0</v>
      </c>
      <c r="AB346" s="449">
        <v>0</v>
      </c>
      <c r="AC346" s="450">
        <v>24449</v>
      </c>
      <c r="AD346" s="450">
        <v>0</v>
      </c>
      <c r="AE346" s="450">
        <v>0</v>
      </c>
      <c r="AF346" s="449">
        <v>0</v>
      </c>
      <c r="AG346" s="450">
        <v>0</v>
      </c>
    </row>
    <row r="347" spans="1:33">
      <c r="A347" s="90" t="s">
        <v>374</v>
      </c>
      <c r="B347" s="87" t="s">
        <v>384</v>
      </c>
      <c r="C347" s="125"/>
      <c r="D347" s="55">
        <v>207865</v>
      </c>
      <c r="E347" s="55">
        <v>4</v>
      </c>
      <c r="F347" s="447">
        <f t="shared" si="24"/>
        <v>123129</v>
      </c>
      <c r="G347" s="448">
        <f t="shared" si="25"/>
        <v>119225</v>
      </c>
      <c r="H347" s="449">
        <v>90576</v>
      </c>
      <c r="I347" s="450">
        <v>86685</v>
      </c>
      <c r="J347" s="449">
        <v>1339</v>
      </c>
      <c r="K347" s="450">
        <v>1274</v>
      </c>
      <c r="L347" s="449">
        <v>30409</v>
      </c>
      <c r="M347" s="449">
        <v>805</v>
      </c>
      <c r="N347" s="449">
        <v>0</v>
      </c>
      <c r="O347" s="472">
        <v>30621</v>
      </c>
      <c r="P347" s="450">
        <v>645</v>
      </c>
      <c r="Q347" s="450">
        <v>0</v>
      </c>
      <c r="R347" s="449">
        <v>0</v>
      </c>
      <c r="S347" s="450">
        <v>0</v>
      </c>
      <c r="T347" s="447">
        <f t="shared" si="26"/>
        <v>14489</v>
      </c>
      <c r="U347" s="448">
        <f t="shared" si="27"/>
        <v>14615</v>
      </c>
      <c r="V347" s="449">
        <v>7256</v>
      </c>
      <c r="W347" s="450">
        <v>7187</v>
      </c>
      <c r="X347" s="449">
        <v>0</v>
      </c>
      <c r="Y347" s="450">
        <v>0</v>
      </c>
      <c r="Z347" s="449">
        <v>7230</v>
      </c>
      <c r="AA347" s="449">
        <v>3</v>
      </c>
      <c r="AB347" s="449">
        <v>0</v>
      </c>
      <c r="AC347" s="450">
        <v>7428</v>
      </c>
      <c r="AD347" s="468">
        <v>0</v>
      </c>
      <c r="AE347" s="450">
        <v>0</v>
      </c>
      <c r="AF347" s="449">
        <v>0</v>
      </c>
      <c r="AG347" s="450">
        <v>0</v>
      </c>
    </row>
    <row r="348" spans="1:33">
      <c r="A348" s="90" t="s">
        <v>374</v>
      </c>
      <c r="B348" s="87" t="s">
        <v>380</v>
      </c>
      <c r="C348" s="14"/>
      <c r="D348" s="55">
        <v>206914</v>
      </c>
      <c r="E348" s="55">
        <v>5</v>
      </c>
      <c r="F348" s="447">
        <f t="shared" si="24"/>
        <v>97151</v>
      </c>
      <c r="G348" s="448">
        <f t="shared" si="25"/>
        <v>94000</v>
      </c>
      <c r="H348" s="449">
        <v>62813</v>
      </c>
      <c r="I348" s="450">
        <v>59885</v>
      </c>
      <c r="J348" s="449">
        <v>1491</v>
      </c>
      <c r="K348" s="450">
        <v>1614</v>
      </c>
      <c r="L348" s="449">
        <v>23525</v>
      </c>
      <c r="M348" s="449">
        <v>9322</v>
      </c>
      <c r="N348" s="449">
        <v>0</v>
      </c>
      <c r="O348" s="472">
        <v>23796</v>
      </c>
      <c r="P348" s="450">
        <v>8705</v>
      </c>
      <c r="Q348" s="450">
        <v>0</v>
      </c>
      <c r="R348" s="449">
        <v>0</v>
      </c>
      <c r="S348" s="450">
        <v>0</v>
      </c>
      <c r="T348" s="447">
        <f t="shared" si="26"/>
        <v>5238</v>
      </c>
      <c r="U348" s="448">
        <f t="shared" si="27"/>
        <v>5076</v>
      </c>
      <c r="V348" s="449">
        <v>1806</v>
      </c>
      <c r="W348" s="450">
        <v>1467</v>
      </c>
      <c r="X348" s="449">
        <v>0</v>
      </c>
      <c r="Y348" s="450">
        <v>0</v>
      </c>
      <c r="Z348" s="449">
        <v>3063</v>
      </c>
      <c r="AA348" s="449">
        <v>369</v>
      </c>
      <c r="AB348" s="449">
        <v>0</v>
      </c>
      <c r="AC348" s="450">
        <v>3117</v>
      </c>
      <c r="AD348" s="450">
        <v>492</v>
      </c>
      <c r="AE348" s="450">
        <v>0</v>
      </c>
      <c r="AF348" s="449">
        <v>0</v>
      </c>
      <c r="AG348" s="450">
        <v>0</v>
      </c>
    </row>
    <row r="349" spans="1:33">
      <c r="A349" s="86" t="s">
        <v>374</v>
      </c>
      <c r="B349" s="87" t="s">
        <v>381</v>
      </c>
      <c r="C349" s="14" t="s">
        <v>783</v>
      </c>
      <c r="D349" s="480">
        <v>207041</v>
      </c>
      <c r="E349" s="480">
        <v>5</v>
      </c>
      <c r="F349" s="447">
        <f t="shared" si="24"/>
        <v>81726</v>
      </c>
      <c r="G349" s="448">
        <f t="shared" si="25"/>
        <v>78851</v>
      </c>
      <c r="H349" s="449">
        <v>63720</v>
      </c>
      <c r="I349" s="450">
        <v>60519</v>
      </c>
      <c r="J349" s="449">
        <v>1496</v>
      </c>
      <c r="K349" s="450">
        <v>1863</v>
      </c>
      <c r="L349" s="449">
        <v>13922</v>
      </c>
      <c r="M349" s="449">
        <v>36</v>
      </c>
      <c r="N349" s="449">
        <v>2552</v>
      </c>
      <c r="O349" s="472">
        <v>14274</v>
      </c>
      <c r="P349" s="468">
        <v>0</v>
      </c>
      <c r="Q349" s="450">
        <v>2195</v>
      </c>
      <c r="R349" s="449">
        <v>0</v>
      </c>
      <c r="S349" s="450">
        <v>0</v>
      </c>
      <c r="T349" s="447">
        <f t="shared" si="26"/>
        <v>10671</v>
      </c>
      <c r="U349" s="448">
        <f t="shared" si="27"/>
        <v>10226</v>
      </c>
      <c r="V349" s="449">
        <v>2460</v>
      </c>
      <c r="W349" s="450">
        <v>3352</v>
      </c>
      <c r="X349" s="449">
        <v>0</v>
      </c>
      <c r="Y349" s="467">
        <v>36</v>
      </c>
      <c r="Z349" s="449">
        <v>7614</v>
      </c>
      <c r="AA349" s="449">
        <v>18</v>
      </c>
      <c r="AB349" s="449">
        <v>579</v>
      </c>
      <c r="AC349" s="450">
        <v>6276</v>
      </c>
      <c r="AD349" s="468">
        <v>0</v>
      </c>
      <c r="AE349" s="450">
        <v>562</v>
      </c>
      <c r="AF349" s="449">
        <v>0</v>
      </c>
      <c r="AG349" s="450">
        <v>0</v>
      </c>
    </row>
    <row r="350" spans="1:33">
      <c r="A350" s="90" t="s">
        <v>374</v>
      </c>
      <c r="B350" s="87" t="s">
        <v>382</v>
      </c>
      <c r="C350" s="14"/>
      <c r="D350" s="55">
        <v>207209</v>
      </c>
      <c r="E350" s="55">
        <v>5</v>
      </c>
      <c r="F350" s="447">
        <f t="shared" si="24"/>
        <v>56567</v>
      </c>
      <c r="G350" s="448">
        <f t="shared" si="25"/>
        <v>56490</v>
      </c>
      <c r="H350" s="449">
        <v>49518</v>
      </c>
      <c r="I350" s="450">
        <v>49232</v>
      </c>
      <c r="J350" s="449">
        <v>0</v>
      </c>
      <c r="K350" s="450">
        <v>0</v>
      </c>
      <c r="L350" s="449">
        <v>7049</v>
      </c>
      <c r="M350" s="449">
        <v>0</v>
      </c>
      <c r="N350" s="449">
        <v>0</v>
      </c>
      <c r="O350" s="472">
        <v>7258</v>
      </c>
      <c r="P350" s="450">
        <v>0</v>
      </c>
      <c r="Q350" s="450">
        <v>0</v>
      </c>
      <c r="R350" s="449">
        <v>0</v>
      </c>
      <c r="S350" s="450">
        <v>0</v>
      </c>
      <c r="T350" s="447">
        <f t="shared" si="26"/>
        <v>5487</v>
      </c>
      <c r="U350" s="448">
        <f t="shared" si="27"/>
        <v>5269</v>
      </c>
      <c r="V350" s="449">
        <v>5294</v>
      </c>
      <c r="W350" s="450">
        <v>5071</v>
      </c>
      <c r="X350" s="449">
        <v>0</v>
      </c>
      <c r="Y350" s="450">
        <v>0</v>
      </c>
      <c r="Z350" s="449">
        <v>193</v>
      </c>
      <c r="AA350" s="449">
        <v>0</v>
      </c>
      <c r="AB350" s="449">
        <v>0</v>
      </c>
      <c r="AC350" s="450">
        <v>198</v>
      </c>
      <c r="AD350" s="450">
        <v>0</v>
      </c>
      <c r="AE350" s="450">
        <v>0</v>
      </c>
      <c r="AF350" s="449">
        <v>0</v>
      </c>
      <c r="AG350" s="450">
        <v>0</v>
      </c>
    </row>
    <row r="351" spans="1:33">
      <c r="A351" s="90" t="s">
        <v>374</v>
      </c>
      <c r="B351" s="87" t="s">
        <v>383</v>
      </c>
      <c r="C351" s="121"/>
      <c r="D351" s="55">
        <v>207306</v>
      </c>
      <c r="E351" s="55">
        <v>5</v>
      </c>
      <c r="F351" s="447">
        <f t="shared" si="24"/>
        <v>47887</v>
      </c>
      <c r="G351" s="448">
        <f t="shared" si="25"/>
        <v>47533</v>
      </c>
      <c r="H351" s="449">
        <v>31859</v>
      </c>
      <c r="I351" s="450">
        <v>31297</v>
      </c>
      <c r="J351" s="449">
        <v>18</v>
      </c>
      <c r="K351" s="467">
        <v>69</v>
      </c>
      <c r="L351" s="449">
        <v>8719</v>
      </c>
      <c r="M351" s="449">
        <v>6754</v>
      </c>
      <c r="N351" s="449">
        <v>537</v>
      </c>
      <c r="O351" s="472">
        <v>8832</v>
      </c>
      <c r="P351" s="450">
        <v>6856</v>
      </c>
      <c r="Q351" s="450">
        <v>479</v>
      </c>
      <c r="R351" s="449">
        <v>0</v>
      </c>
      <c r="S351" s="450">
        <v>0</v>
      </c>
      <c r="T351" s="447">
        <f t="shared" si="26"/>
        <v>3180</v>
      </c>
      <c r="U351" s="448">
        <f t="shared" si="27"/>
        <v>3209</v>
      </c>
      <c r="V351" s="449">
        <v>940</v>
      </c>
      <c r="W351" s="450">
        <v>927</v>
      </c>
      <c r="X351" s="449">
        <v>0</v>
      </c>
      <c r="Y351" s="467">
        <v>22</v>
      </c>
      <c r="Z351" s="449">
        <v>1294</v>
      </c>
      <c r="AA351" s="449">
        <v>640</v>
      </c>
      <c r="AB351" s="449">
        <v>306</v>
      </c>
      <c r="AC351" s="450">
        <v>1352</v>
      </c>
      <c r="AD351" s="450">
        <v>646</v>
      </c>
      <c r="AE351" s="450">
        <v>262</v>
      </c>
      <c r="AF351" s="449">
        <v>0</v>
      </c>
      <c r="AG351" s="450">
        <v>0</v>
      </c>
    </row>
    <row r="352" spans="1:33">
      <c r="A352" s="86" t="s">
        <v>374</v>
      </c>
      <c r="B352" s="87" t="s">
        <v>385</v>
      </c>
      <c r="C352" s="121"/>
      <c r="D352" s="55">
        <v>207351</v>
      </c>
      <c r="E352" s="55">
        <v>6</v>
      </c>
      <c r="F352" s="447">
        <f t="shared" si="24"/>
        <v>30993</v>
      </c>
      <c r="G352" s="448">
        <f t="shared" si="25"/>
        <v>31924</v>
      </c>
      <c r="H352" s="449">
        <v>22128</v>
      </c>
      <c r="I352" s="450">
        <v>21490</v>
      </c>
      <c r="J352" s="449">
        <v>0</v>
      </c>
      <c r="K352" s="450">
        <v>0</v>
      </c>
      <c r="L352" s="449">
        <v>8865</v>
      </c>
      <c r="M352" s="449">
        <v>0</v>
      </c>
      <c r="N352" s="449">
        <v>0</v>
      </c>
      <c r="O352" s="472">
        <v>10434</v>
      </c>
      <c r="P352" s="450">
        <v>0</v>
      </c>
      <c r="Q352" s="450">
        <v>0</v>
      </c>
      <c r="R352" s="449">
        <v>0</v>
      </c>
      <c r="S352" s="450">
        <v>0</v>
      </c>
      <c r="T352" s="447">
        <f t="shared" si="26"/>
        <v>0</v>
      </c>
      <c r="U352" s="448">
        <f t="shared" si="27"/>
        <v>0</v>
      </c>
      <c r="V352" s="449">
        <v>0</v>
      </c>
      <c r="W352" s="450">
        <v>0</v>
      </c>
      <c r="X352" s="449">
        <v>0</v>
      </c>
      <c r="Y352" s="450">
        <v>0</v>
      </c>
      <c r="Z352" s="449">
        <v>0</v>
      </c>
      <c r="AA352" s="449">
        <v>0</v>
      </c>
      <c r="AB352" s="449">
        <v>0</v>
      </c>
      <c r="AC352" s="450">
        <v>0</v>
      </c>
      <c r="AD352" s="450">
        <v>0</v>
      </c>
      <c r="AE352" s="450">
        <v>0</v>
      </c>
      <c r="AF352" s="449">
        <v>0</v>
      </c>
      <c r="AG352" s="450">
        <v>0</v>
      </c>
    </row>
    <row r="353" spans="1:33">
      <c r="A353" s="86" t="s">
        <v>374</v>
      </c>
      <c r="B353" s="87" t="s">
        <v>386</v>
      </c>
      <c r="C353" s="121"/>
      <c r="D353" s="55">
        <v>207661</v>
      </c>
      <c r="E353" s="124">
        <v>6</v>
      </c>
      <c r="F353" s="447">
        <f t="shared" si="24"/>
        <v>81920</v>
      </c>
      <c r="G353" s="448">
        <f t="shared" si="25"/>
        <v>80257</v>
      </c>
      <c r="H353" s="449">
        <v>54954</v>
      </c>
      <c r="I353" s="450">
        <v>52829</v>
      </c>
      <c r="J353" s="449">
        <v>0</v>
      </c>
      <c r="K353" s="450">
        <v>0</v>
      </c>
      <c r="L353" s="449">
        <v>25325</v>
      </c>
      <c r="M353" s="449">
        <v>1641</v>
      </c>
      <c r="N353" s="449">
        <v>0</v>
      </c>
      <c r="O353" s="472">
        <v>25850</v>
      </c>
      <c r="P353" s="450">
        <v>1578</v>
      </c>
      <c r="Q353" s="450">
        <v>0</v>
      </c>
      <c r="R353" s="449">
        <v>0</v>
      </c>
      <c r="S353" s="450">
        <v>0</v>
      </c>
      <c r="T353" s="447">
        <f t="shared" si="26"/>
        <v>459</v>
      </c>
      <c r="U353" s="448">
        <f t="shared" si="27"/>
        <v>402</v>
      </c>
      <c r="V353" s="449">
        <v>435</v>
      </c>
      <c r="W353" s="450">
        <v>378</v>
      </c>
      <c r="X353" s="449">
        <v>0</v>
      </c>
      <c r="Y353" s="450">
        <v>0</v>
      </c>
      <c r="Z353" s="449">
        <v>24</v>
      </c>
      <c r="AA353" s="449">
        <v>0</v>
      </c>
      <c r="AB353" s="449">
        <v>0</v>
      </c>
      <c r="AC353" s="450">
        <v>24</v>
      </c>
      <c r="AD353" s="450">
        <v>0</v>
      </c>
      <c r="AE353" s="450">
        <v>0</v>
      </c>
      <c r="AF353" s="449">
        <v>0</v>
      </c>
      <c r="AG353" s="450">
        <v>0</v>
      </c>
    </row>
    <row r="354" spans="1:33">
      <c r="A354" s="86" t="s">
        <v>374</v>
      </c>
      <c r="B354" s="87" t="s">
        <v>387</v>
      </c>
      <c r="C354" s="121"/>
      <c r="D354" s="55">
        <v>207722</v>
      </c>
      <c r="E354" s="55">
        <v>6</v>
      </c>
      <c r="F354" s="447">
        <f t="shared" si="24"/>
        <v>25519</v>
      </c>
      <c r="G354" s="448">
        <f t="shared" si="25"/>
        <v>24995</v>
      </c>
      <c r="H354" s="449">
        <v>25486</v>
      </c>
      <c r="I354" s="450">
        <v>24831</v>
      </c>
      <c r="J354" s="449">
        <v>33</v>
      </c>
      <c r="K354" s="468">
        <v>0</v>
      </c>
      <c r="L354" s="449">
        <v>0</v>
      </c>
      <c r="M354" s="449">
        <v>0</v>
      </c>
      <c r="N354" s="449">
        <v>0</v>
      </c>
      <c r="O354" s="472">
        <v>0</v>
      </c>
      <c r="P354" s="467">
        <v>155</v>
      </c>
      <c r="Q354" s="467">
        <v>9</v>
      </c>
      <c r="R354" s="449">
        <v>0</v>
      </c>
      <c r="S354" s="450">
        <v>0</v>
      </c>
      <c r="T354" s="447">
        <f t="shared" si="26"/>
        <v>0</v>
      </c>
      <c r="U354" s="448">
        <f t="shared" si="27"/>
        <v>0</v>
      </c>
      <c r="V354" s="449"/>
      <c r="W354" s="450"/>
      <c r="X354" s="449"/>
      <c r="Y354" s="450"/>
      <c r="Z354" s="449"/>
      <c r="AA354" s="449"/>
      <c r="AB354" s="449"/>
      <c r="AC354" s="450"/>
      <c r="AD354" s="450"/>
      <c r="AE354" s="450"/>
      <c r="AF354" s="449"/>
      <c r="AG354" s="450"/>
    </row>
    <row r="355" spans="1:33">
      <c r="A355" s="86" t="s">
        <v>374</v>
      </c>
      <c r="B355" s="87" t="s">
        <v>809</v>
      </c>
      <c r="C355" s="121"/>
      <c r="D355" s="55">
        <v>207564</v>
      </c>
      <c r="E355" s="55">
        <v>7</v>
      </c>
      <c r="F355" s="447">
        <f t="shared" si="24"/>
        <v>71388</v>
      </c>
      <c r="G355" s="448">
        <f t="shared" si="25"/>
        <v>70146</v>
      </c>
      <c r="H355" s="449">
        <v>55153</v>
      </c>
      <c r="I355" s="450">
        <v>53238</v>
      </c>
      <c r="J355" s="449">
        <v>0</v>
      </c>
      <c r="K355" s="450">
        <v>0</v>
      </c>
      <c r="L355" s="449">
        <v>16235</v>
      </c>
      <c r="M355" s="449">
        <v>0</v>
      </c>
      <c r="N355" s="449">
        <v>0</v>
      </c>
      <c r="O355" s="472">
        <v>16908</v>
      </c>
      <c r="P355" s="450">
        <v>0</v>
      </c>
      <c r="Q355" s="450">
        <v>0</v>
      </c>
      <c r="R355" s="449">
        <v>0</v>
      </c>
      <c r="S355" s="450">
        <v>0</v>
      </c>
      <c r="T355" s="447">
        <f t="shared" si="26"/>
        <v>0</v>
      </c>
      <c r="U355" s="448">
        <f t="shared" si="27"/>
        <v>0</v>
      </c>
      <c r="V355" s="449"/>
      <c r="W355" s="450"/>
      <c r="X355" s="449"/>
      <c r="Y355" s="450"/>
      <c r="Z355" s="449"/>
      <c r="AA355" s="449"/>
      <c r="AB355" s="449"/>
      <c r="AC355" s="450"/>
      <c r="AD355" s="450"/>
      <c r="AE355" s="450"/>
      <c r="AF355" s="449"/>
      <c r="AG355" s="450"/>
    </row>
    <row r="356" spans="1:33">
      <c r="A356" s="86" t="s">
        <v>374</v>
      </c>
      <c r="B356" s="87" t="s">
        <v>388</v>
      </c>
      <c r="C356" s="121"/>
      <c r="D356" s="55">
        <v>207397</v>
      </c>
      <c r="E356" s="55">
        <v>7</v>
      </c>
      <c r="F356" s="447">
        <f t="shared" si="24"/>
        <v>127235</v>
      </c>
      <c r="G356" s="448">
        <f t="shared" si="25"/>
        <v>124464</v>
      </c>
      <c r="H356" s="449">
        <v>75490</v>
      </c>
      <c r="I356" s="450">
        <v>73694</v>
      </c>
      <c r="J356" s="449">
        <v>3</v>
      </c>
      <c r="K356" s="450">
        <v>3</v>
      </c>
      <c r="L356" s="449">
        <v>51742</v>
      </c>
      <c r="M356" s="449">
        <v>0</v>
      </c>
      <c r="N356" s="449">
        <v>0</v>
      </c>
      <c r="O356" s="472">
        <v>50767</v>
      </c>
      <c r="P356" s="450">
        <v>0</v>
      </c>
      <c r="Q356" s="450">
        <v>0</v>
      </c>
      <c r="R356" s="449">
        <v>0</v>
      </c>
      <c r="S356" s="450">
        <v>0</v>
      </c>
      <c r="T356" s="447">
        <f t="shared" si="26"/>
        <v>0</v>
      </c>
      <c r="U356" s="448">
        <f t="shared" si="27"/>
        <v>0</v>
      </c>
      <c r="V356" s="449"/>
      <c r="W356" s="450"/>
      <c r="X356" s="449"/>
      <c r="Y356" s="450"/>
      <c r="Z356" s="449"/>
      <c r="AA356" s="449"/>
      <c r="AB356" s="449"/>
      <c r="AC356" s="450"/>
      <c r="AD356" s="450"/>
      <c r="AE356" s="450"/>
      <c r="AF356" s="449"/>
      <c r="AG356" s="450"/>
    </row>
    <row r="357" spans="1:33">
      <c r="A357" s="86" t="s">
        <v>374</v>
      </c>
      <c r="B357" s="54" t="s">
        <v>389</v>
      </c>
      <c r="C357" s="121"/>
      <c r="D357" s="55">
        <v>207449</v>
      </c>
      <c r="E357" s="55">
        <v>8</v>
      </c>
      <c r="F357" s="447">
        <f t="shared" si="24"/>
        <v>229097</v>
      </c>
      <c r="G357" s="448">
        <f t="shared" si="25"/>
        <v>224018</v>
      </c>
      <c r="H357" s="449">
        <v>165940</v>
      </c>
      <c r="I357" s="450">
        <v>167616</v>
      </c>
      <c r="J357" s="449">
        <v>1875</v>
      </c>
      <c r="K357" s="450">
        <v>1400</v>
      </c>
      <c r="L357" s="449">
        <v>59075</v>
      </c>
      <c r="M357" s="449">
        <v>0</v>
      </c>
      <c r="N357" s="449">
        <v>2207</v>
      </c>
      <c r="O357" s="472">
        <v>51672</v>
      </c>
      <c r="P357" s="450">
        <v>0</v>
      </c>
      <c r="Q357" s="468">
        <v>3330</v>
      </c>
      <c r="R357" s="449">
        <v>0</v>
      </c>
      <c r="S357" s="450">
        <v>0</v>
      </c>
      <c r="T357" s="447">
        <f t="shared" si="26"/>
        <v>0</v>
      </c>
      <c r="U357" s="448">
        <f t="shared" si="27"/>
        <v>0</v>
      </c>
      <c r="V357" s="449"/>
      <c r="W357" s="450"/>
      <c r="X357" s="449"/>
      <c r="Y357" s="450"/>
      <c r="Z357" s="449"/>
      <c r="AA357" s="449"/>
      <c r="AB357" s="449"/>
      <c r="AC357" s="450"/>
      <c r="AD357" s="450"/>
      <c r="AE357" s="450"/>
      <c r="AF357" s="449"/>
      <c r="AG357" s="450"/>
    </row>
    <row r="358" spans="1:33">
      <c r="A358" s="86" t="s">
        <v>374</v>
      </c>
      <c r="B358" s="87" t="s">
        <v>390</v>
      </c>
      <c r="C358" s="121"/>
      <c r="D358" s="55">
        <v>207935</v>
      </c>
      <c r="E358" s="55">
        <v>8</v>
      </c>
      <c r="F358" s="447">
        <f t="shared" si="24"/>
        <v>317549</v>
      </c>
      <c r="G358" s="448">
        <f t="shared" si="25"/>
        <v>295439</v>
      </c>
      <c r="H358" s="449">
        <v>213994</v>
      </c>
      <c r="I358" s="450">
        <v>191970</v>
      </c>
      <c r="J358" s="449">
        <v>20693</v>
      </c>
      <c r="K358" s="450">
        <v>21405</v>
      </c>
      <c r="L358" s="449">
        <v>82862</v>
      </c>
      <c r="M358" s="449">
        <v>0</v>
      </c>
      <c r="N358" s="449">
        <v>0</v>
      </c>
      <c r="O358" s="472">
        <v>82058</v>
      </c>
      <c r="P358" s="450">
        <v>0</v>
      </c>
      <c r="Q358" s="467">
        <v>6</v>
      </c>
      <c r="R358" s="449">
        <v>0</v>
      </c>
      <c r="S358" s="450">
        <v>0</v>
      </c>
      <c r="T358" s="447">
        <f t="shared" si="26"/>
        <v>0</v>
      </c>
      <c r="U358" s="448">
        <f t="shared" si="27"/>
        <v>0</v>
      </c>
      <c r="V358" s="449"/>
      <c r="W358" s="450"/>
      <c r="X358" s="449"/>
      <c r="Y358" s="450"/>
      <c r="Z358" s="449"/>
      <c r="AA358" s="449"/>
      <c r="AB358" s="449"/>
      <c r="AC358" s="450"/>
      <c r="AD358" s="450"/>
      <c r="AE358" s="450"/>
      <c r="AF358" s="449"/>
      <c r="AG358" s="450"/>
    </row>
    <row r="359" spans="1:33">
      <c r="A359" s="86" t="s">
        <v>374</v>
      </c>
      <c r="B359" s="54" t="s">
        <v>391</v>
      </c>
      <c r="C359" s="121"/>
      <c r="D359" s="55">
        <v>207281</v>
      </c>
      <c r="E359" s="55">
        <v>9</v>
      </c>
      <c r="F359" s="447">
        <f t="shared" si="24"/>
        <v>77640</v>
      </c>
      <c r="G359" s="448">
        <f t="shared" si="25"/>
        <v>75449</v>
      </c>
      <c r="H359" s="449">
        <v>51797</v>
      </c>
      <c r="I359" s="450">
        <v>48943</v>
      </c>
      <c r="J359" s="449">
        <v>393</v>
      </c>
      <c r="K359" s="468">
        <v>708</v>
      </c>
      <c r="L359" s="449">
        <v>13468</v>
      </c>
      <c r="M359" s="449">
        <v>11982</v>
      </c>
      <c r="N359" s="449">
        <v>0</v>
      </c>
      <c r="O359" s="472">
        <v>13913</v>
      </c>
      <c r="P359" s="450">
        <v>11885</v>
      </c>
      <c r="Q359" s="450">
        <v>0</v>
      </c>
      <c r="R359" s="449">
        <v>0</v>
      </c>
      <c r="S359" s="450">
        <v>0</v>
      </c>
      <c r="T359" s="447">
        <f t="shared" si="26"/>
        <v>0</v>
      </c>
      <c r="U359" s="448">
        <f t="shared" si="27"/>
        <v>0</v>
      </c>
      <c r="V359" s="449"/>
      <c r="W359" s="450"/>
      <c r="X359" s="449"/>
      <c r="Y359" s="450"/>
      <c r="Z359" s="449"/>
      <c r="AA359" s="449"/>
      <c r="AB359" s="449"/>
      <c r="AC359" s="450"/>
      <c r="AD359" s="450"/>
      <c r="AE359" s="450"/>
      <c r="AF359" s="449"/>
      <c r="AG359" s="450"/>
    </row>
    <row r="360" spans="1:33">
      <c r="A360" s="86" t="s">
        <v>374</v>
      </c>
      <c r="B360" s="87" t="s">
        <v>392</v>
      </c>
      <c r="C360" s="123"/>
      <c r="D360" s="55">
        <v>207670</v>
      </c>
      <c r="E360" s="55">
        <v>9</v>
      </c>
      <c r="F360" s="447">
        <f t="shared" si="24"/>
        <v>129628</v>
      </c>
      <c r="G360" s="448">
        <f t="shared" si="25"/>
        <v>123670</v>
      </c>
      <c r="H360" s="449">
        <v>88569</v>
      </c>
      <c r="I360" s="450">
        <v>83364</v>
      </c>
      <c r="J360" s="449">
        <v>402</v>
      </c>
      <c r="K360" s="450">
        <v>421</v>
      </c>
      <c r="L360" s="449">
        <v>37869</v>
      </c>
      <c r="M360" s="449">
        <v>1635</v>
      </c>
      <c r="N360" s="449">
        <v>1153</v>
      </c>
      <c r="O360" s="472">
        <v>38694</v>
      </c>
      <c r="P360" s="450">
        <v>1191</v>
      </c>
      <c r="Q360" s="468">
        <v>0</v>
      </c>
      <c r="R360" s="449">
        <v>0</v>
      </c>
      <c r="S360" s="450">
        <v>0</v>
      </c>
      <c r="T360" s="447">
        <f t="shared" si="26"/>
        <v>0</v>
      </c>
      <c r="U360" s="448">
        <f t="shared" si="27"/>
        <v>0</v>
      </c>
      <c r="V360" s="449"/>
      <c r="W360" s="450"/>
      <c r="X360" s="449"/>
      <c r="Y360" s="450"/>
      <c r="Z360" s="449"/>
      <c r="AA360" s="449"/>
      <c r="AB360" s="449"/>
      <c r="AC360" s="450"/>
      <c r="AD360" s="450"/>
      <c r="AE360" s="450"/>
      <c r="AF360" s="449"/>
      <c r="AG360" s="450"/>
    </row>
    <row r="361" spans="1:33">
      <c r="A361" s="86" t="s">
        <v>374</v>
      </c>
      <c r="B361" s="87" t="s">
        <v>393</v>
      </c>
      <c r="C361" s="123"/>
      <c r="D361" s="55">
        <v>206923</v>
      </c>
      <c r="E361" s="55">
        <v>10</v>
      </c>
      <c r="F361" s="447">
        <f t="shared" si="24"/>
        <v>42448</v>
      </c>
      <c r="G361" s="448">
        <f t="shared" si="25"/>
        <v>40792</v>
      </c>
      <c r="H361" s="449">
        <v>40924</v>
      </c>
      <c r="I361" s="450">
        <v>39475</v>
      </c>
      <c r="J361" s="449">
        <v>0</v>
      </c>
      <c r="K361" s="450">
        <v>0</v>
      </c>
      <c r="L361" s="449">
        <v>0</v>
      </c>
      <c r="M361" s="449">
        <v>1524</v>
      </c>
      <c r="N361" s="449">
        <v>0</v>
      </c>
      <c r="O361" s="472">
        <v>0</v>
      </c>
      <c r="P361" s="450">
        <v>1317</v>
      </c>
      <c r="Q361" s="450">
        <v>0</v>
      </c>
      <c r="R361" s="449">
        <v>0</v>
      </c>
      <c r="S361" s="450">
        <v>0</v>
      </c>
      <c r="T361" s="447">
        <f t="shared" si="26"/>
        <v>0</v>
      </c>
      <c r="U361" s="448">
        <f t="shared" si="27"/>
        <v>0</v>
      </c>
      <c r="V361" s="449"/>
      <c r="W361" s="450"/>
      <c r="X361" s="449"/>
      <c r="Y361" s="450"/>
      <c r="Z361" s="449"/>
      <c r="AA361" s="449"/>
      <c r="AB361" s="449"/>
      <c r="AC361" s="450"/>
      <c r="AD361" s="450"/>
      <c r="AE361" s="450"/>
      <c r="AF361" s="449"/>
      <c r="AG361" s="450"/>
    </row>
    <row r="362" spans="1:33">
      <c r="A362" s="86" t="s">
        <v>374</v>
      </c>
      <c r="B362" s="87" t="s">
        <v>394</v>
      </c>
      <c r="C362" s="121"/>
      <c r="D362" s="55">
        <v>206996</v>
      </c>
      <c r="E362" s="55">
        <v>10</v>
      </c>
      <c r="F362" s="447">
        <f t="shared" si="24"/>
        <v>52306</v>
      </c>
      <c r="G362" s="448">
        <f t="shared" si="25"/>
        <v>45978</v>
      </c>
      <c r="H362" s="449">
        <v>24889</v>
      </c>
      <c r="I362" s="450">
        <v>18302</v>
      </c>
      <c r="J362" s="449">
        <v>4855</v>
      </c>
      <c r="K362" s="450">
        <v>4494</v>
      </c>
      <c r="L362" s="449">
        <v>19822</v>
      </c>
      <c r="M362" s="449">
        <v>2740</v>
      </c>
      <c r="N362" s="449">
        <v>0</v>
      </c>
      <c r="O362" s="472">
        <v>20601</v>
      </c>
      <c r="P362" s="450">
        <v>2581</v>
      </c>
      <c r="Q362" s="450">
        <v>0</v>
      </c>
      <c r="R362" s="449">
        <v>0</v>
      </c>
      <c r="S362" s="450">
        <v>0</v>
      </c>
      <c r="T362" s="447">
        <f t="shared" si="26"/>
        <v>0</v>
      </c>
      <c r="U362" s="448">
        <f t="shared" si="27"/>
        <v>0</v>
      </c>
      <c r="V362" s="449"/>
      <c r="W362" s="450"/>
      <c r="X362" s="449"/>
      <c r="Y362" s="450"/>
      <c r="Z362" s="449"/>
      <c r="AA362" s="449"/>
      <c r="AB362" s="449"/>
      <c r="AC362" s="450"/>
      <c r="AD362" s="450"/>
      <c r="AE362" s="450"/>
      <c r="AF362" s="449"/>
      <c r="AG362" s="450"/>
    </row>
    <row r="363" spans="1:33">
      <c r="A363" s="86" t="s">
        <v>374</v>
      </c>
      <c r="B363" s="87" t="s">
        <v>395</v>
      </c>
      <c r="C363" s="121"/>
      <c r="D363" s="55">
        <v>207050</v>
      </c>
      <c r="E363" s="55">
        <v>10</v>
      </c>
      <c r="F363" s="447">
        <f t="shared" si="24"/>
        <v>32904</v>
      </c>
      <c r="G363" s="448">
        <f t="shared" si="25"/>
        <v>30907</v>
      </c>
      <c r="H363" s="449">
        <v>20427</v>
      </c>
      <c r="I363" s="450">
        <v>18804</v>
      </c>
      <c r="J363" s="449">
        <v>486</v>
      </c>
      <c r="K363" s="450">
        <v>324</v>
      </c>
      <c r="L363" s="449">
        <v>9684</v>
      </c>
      <c r="M363" s="449">
        <v>2307</v>
      </c>
      <c r="N363" s="449">
        <v>0</v>
      </c>
      <c r="O363" s="472">
        <v>9693</v>
      </c>
      <c r="P363" s="450">
        <v>2086</v>
      </c>
      <c r="Q363" s="450">
        <v>0</v>
      </c>
      <c r="R363" s="449">
        <v>0</v>
      </c>
      <c r="S363" s="450">
        <v>0</v>
      </c>
      <c r="T363" s="447">
        <f t="shared" si="26"/>
        <v>0</v>
      </c>
      <c r="U363" s="448">
        <f t="shared" si="27"/>
        <v>0</v>
      </c>
      <c r="V363" s="449"/>
      <c r="W363" s="450"/>
      <c r="X363" s="449"/>
      <c r="Y363" s="450"/>
      <c r="Z363" s="449"/>
      <c r="AA363" s="449"/>
      <c r="AB363" s="449"/>
      <c r="AC363" s="450"/>
      <c r="AD363" s="450"/>
      <c r="AE363" s="450"/>
      <c r="AF363" s="449"/>
      <c r="AG363" s="450"/>
    </row>
    <row r="364" spans="1:33">
      <c r="A364" s="86" t="s">
        <v>374</v>
      </c>
      <c r="B364" s="87" t="s">
        <v>396</v>
      </c>
      <c r="C364" s="121"/>
      <c r="D364" s="55">
        <v>207236</v>
      </c>
      <c r="E364" s="55">
        <v>10</v>
      </c>
      <c r="F364" s="447">
        <f t="shared" si="24"/>
        <v>44197</v>
      </c>
      <c r="G364" s="448">
        <f t="shared" si="25"/>
        <v>36193</v>
      </c>
      <c r="H364" s="449">
        <v>23662</v>
      </c>
      <c r="I364" s="450">
        <v>15704</v>
      </c>
      <c r="J364" s="449">
        <v>363</v>
      </c>
      <c r="K364" s="450">
        <v>470</v>
      </c>
      <c r="L364" s="449">
        <v>17097</v>
      </c>
      <c r="M364" s="449">
        <v>3075</v>
      </c>
      <c r="N364" s="449">
        <v>0</v>
      </c>
      <c r="O364" s="472">
        <v>16901</v>
      </c>
      <c r="P364" s="450">
        <v>2769</v>
      </c>
      <c r="Q364" s="467">
        <v>349</v>
      </c>
      <c r="R364" s="449">
        <v>0</v>
      </c>
      <c r="S364" s="450">
        <v>0</v>
      </c>
      <c r="T364" s="447">
        <f t="shared" si="26"/>
        <v>0</v>
      </c>
      <c r="U364" s="448">
        <f t="shared" si="27"/>
        <v>0</v>
      </c>
      <c r="V364" s="449"/>
      <c r="W364" s="450"/>
      <c r="X364" s="449"/>
      <c r="Y364" s="450"/>
      <c r="Z364" s="449"/>
      <c r="AA364" s="449"/>
      <c r="AB364" s="449"/>
      <c r="AC364" s="450"/>
      <c r="AD364" s="450"/>
      <c r="AE364" s="450"/>
      <c r="AF364" s="449"/>
      <c r="AG364" s="450"/>
    </row>
    <row r="365" spans="1:33">
      <c r="A365" s="86" t="s">
        <v>374</v>
      </c>
      <c r="B365" s="87" t="s">
        <v>397</v>
      </c>
      <c r="C365" s="121"/>
      <c r="D365" s="55">
        <v>207290</v>
      </c>
      <c r="E365" s="55">
        <v>10</v>
      </c>
      <c r="F365" s="447">
        <f t="shared" si="24"/>
        <v>49976</v>
      </c>
      <c r="G365" s="448">
        <f t="shared" si="25"/>
        <v>48488</v>
      </c>
      <c r="H365" s="449">
        <v>40997</v>
      </c>
      <c r="I365" s="450">
        <v>39126</v>
      </c>
      <c r="J365" s="449">
        <v>0</v>
      </c>
      <c r="K365" s="450">
        <v>0</v>
      </c>
      <c r="L365" s="449">
        <v>8832</v>
      </c>
      <c r="M365" s="449">
        <v>147</v>
      </c>
      <c r="N365" s="449">
        <v>0</v>
      </c>
      <c r="O365" s="472">
        <v>9122</v>
      </c>
      <c r="P365" s="468">
        <v>240</v>
      </c>
      <c r="Q365" s="450">
        <v>0</v>
      </c>
      <c r="R365" s="449">
        <v>0</v>
      </c>
      <c r="S365" s="450">
        <v>0</v>
      </c>
      <c r="T365" s="447">
        <f t="shared" si="26"/>
        <v>0</v>
      </c>
      <c r="U365" s="448">
        <f t="shared" si="27"/>
        <v>0</v>
      </c>
      <c r="V365" s="449"/>
      <c r="W365" s="450"/>
      <c r="X365" s="449"/>
      <c r="Y365" s="450"/>
      <c r="Z365" s="449"/>
      <c r="AA365" s="449"/>
      <c r="AB365" s="449"/>
      <c r="AC365" s="450"/>
      <c r="AD365" s="450"/>
      <c r="AE365" s="450"/>
      <c r="AF365" s="449"/>
      <c r="AG365" s="450"/>
    </row>
    <row r="366" spans="1:33">
      <c r="A366" s="86" t="s">
        <v>374</v>
      </c>
      <c r="B366" s="87" t="s">
        <v>398</v>
      </c>
      <c r="C366" s="121"/>
      <c r="D366" s="55">
        <v>207069</v>
      </c>
      <c r="E366" s="55">
        <v>10</v>
      </c>
      <c r="F366" s="447">
        <f t="shared" si="24"/>
        <v>36157</v>
      </c>
      <c r="G366" s="448">
        <f t="shared" si="25"/>
        <v>33040</v>
      </c>
      <c r="H366" s="449">
        <v>15867</v>
      </c>
      <c r="I366" s="450">
        <v>15000</v>
      </c>
      <c r="J366" s="449">
        <v>2094</v>
      </c>
      <c r="K366" s="450">
        <v>1389</v>
      </c>
      <c r="L366" s="449">
        <v>17296</v>
      </c>
      <c r="M366" s="449">
        <v>900</v>
      </c>
      <c r="N366" s="449">
        <v>0</v>
      </c>
      <c r="O366" s="472">
        <v>15877</v>
      </c>
      <c r="P366" s="450">
        <v>774</v>
      </c>
      <c r="Q366" s="450">
        <v>0</v>
      </c>
      <c r="R366" s="449">
        <v>0</v>
      </c>
      <c r="S366" s="450">
        <v>0</v>
      </c>
      <c r="T366" s="447">
        <f t="shared" si="26"/>
        <v>0</v>
      </c>
      <c r="U366" s="448">
        <f t="shared" si="27"/>
        <v>0</v>
      </c>
      <c r="V366" s="449"/>
      <c r="W366" s="450"/>
      <c r="X366" s="449"/>
      <c r="Y366" s="450"/>
      <c r="Z366" s="449"/>
      <c r="AA366" s="449"/>
      <c r="AB366" s="449"/>
      <c r="AC366" s="450"/>
      <c r="AD366" s="450"/>
      <c r="AE366" s="450"/>
      <c r="AF366" s="449"/>
      <c r="AG366" s="450"/>
    </row>
    <row r="367" spans="1:33">
      <c r="A367" s="86" t="s">
        <v>374</v>
      </c>
      <c r="B367" s="87" t="s">
        <v>399</v>
      </c>
      <c r="C367" s="121"/>
      <c r="D367" s="55">
        <v>207740</v>
      </c>
      <c r="E367" s="55">
        <v>10</v>
      </c>
      <c r="F367" s="447">
        <f t="shared" si="24"/>
        <v>36284</v>
      </c>
      <c r="G367" s="448">
        <f t="shared" si="25"/>
        <v>34556</v>
      </c>
      <c r="H367" s="449">
        <v>27361</v>
      </c>
      <c r="I367" s="450">
        <v>25796</v>
      </c>
      <c r="J367" s="449">
        <v>1351</v>
      </c>
      <c r="K367" s="450">
        <v>1227</v>
      </c>
      <c r="L367" s="449">
        <v>7164</v>
      </c>
      <c r="M367" s="449">
        <v>408</v>
      </c>
      <c r="N367" s="449">
        <v>0</v>
      </c>
      <c r="O367" s="472">
        <v>6962</v>
      </c>
      <c r="P367" s="450">
        <v>571</v>
      </c>
      <c r="Q367" s="450">
        <v>0</v>
      </c>
      <c r="R367" s="449">
        <v>0</v>
      </c>
      <c r="S367" s="450">
        <v>0</v>
      </c>
      <c r="T367" s="447">
        <f t="shared" si="26"/>
        <v>0</v>
      </c>
      <c r="U367" s="448">
        <f t="shared" si="27"/>
        <v>0</v>
      </c>
      <c r="V367" s="449"/>
      <c r="W367" s="450"/>
      <c r="X367" s="449"/>
      <c r="Y367" s="450"/>
      <c r="Z367" s="449"/>
      <c r="AA367" s="449"/>
      <c r="AB367" s="449"/>
      <c r="AC367" s="450"/>
      <c r="AD367" s="450"/>
      <c r="AE367" s="450"/>
      <c r="AF367" s="449"/>
      <c r="AG367" s="450"/>
    </row>
    <row r="368" spans="1:33">
      <c r="A368" s="86" t="s">
        <v>374</v>
      </c>
      <c r="B368" s="87" t="s">
        <v>400</v>
      </c>
      <c r="C368" s="121"/>
      <c r="D368" s="55">
        <v>208035</v>
      </c>
      <c r="E368" s="55">
        <v>10</v>
      </c>
      <c r="F368" s="447">
        <f t="shared" si="24"/>
        <v>26511</v>
      </c>
      <c r="G368" s="448">
        <f t="shared" si="25"/>
        <v>25451</v>
      </c>
      <c r="H368" s="449">
        <v>15170</v>
      </c>
      <c r="I368" s="450">
        <v>13509</v>
      </c>
      <c r="J368" s="449">
        <v>488</v>
      </c>
      <c r="K368" s="450">
        <v>402</v>
      </c>
      <c r="L368" s="449">
        <v>8901</v>
      </c>
      <c r="M368" s="449">
        <v>1952</v>
      </c>
      <c r="N368" s="449">
        <v>0</v>
      </c>
      <c r="O368" s="472">
        <v>9346</v>
      </c>
      <c r="P368" s="450">
        <v>2194</v>
      </c>
      <c r="Q368" s="450">
        <v>0</v>
      </c>
      <c r="R368" s="449">
        <v>0</v>
      </c>
      <c r="S368" s="450">
        <v>0</v>
      </c>
      <c r="T368" s="447">
        <f t="shared" si="26"/>
        <v>0</v>
      </c>
      <c r="U368" s="448">
        <f t="shared" si="27"/>
        <v>0</v>
      </c>
      <c r="V368" s="449"/>
      <c r="W368" s="450"/>
      <c r="X368" s="449"/>
      <c r="Y368" s="450"/>
      <c r="Z368" s="449"/>
      <c r="AA368" s="449"/>
      <c r="AB368" s="449"/>
      <c r="AC368" s="450"/>
      <c r="AD368" s="450"/>
      <c r="AE368" s="450"/>
      <c r="AF368" s="449"/>
      <c r="AG368" s="450"/>
    </row>
    <row r="369" spans="1:33">
      <c r="A369" s="126" t="s">
        <v>401</v>
      </c>
      <c r="B369" s="95" t="s">
        <v>402</v>
      </c>
      <c r="C369" s="96"/>
      <c r="D369" s="127">
        <v>217882</v>
      </c>
      <c r="E369" s="97">
        <v>1</v>
      </c>
      <c r="F369" s="447">
        <f t="shared" si="24"/>
        <v>603785</v>
      </c>
      <c r="G369" s="448">
        <f t="shared" si="25"/>
        <v>618261</v>
      </c>
      <c r="H369" s="449">
        <v>536931</v>
      </c>
      <c r="I369" s="450">
        <v>540556</v>
      </c>
      <c r="J369" s="449">
        <v>10739</v>
      </c>
      <c r="K369" s="450">
        <v>16387</v>
      </c>
      <c r="L369" s="449">
        <v>56115</v>
      </c>
      <c r="M369" s="449"/>
      <c r="N369" s="449"/>
      <c r="O369" s="450">
        <v>61318</v>
      </c>
      <c r="P369" s="450"/>
      <c r="Q369" s="450"/>
      <c r="R369" s="449"/>
      <c r="S369" s="450"/>
      <c r="T369" s="447">
        <f t="shared" si="26"/>
        <v>93420</v>
      </c>
      <c r="U369" s="448">
        <f t="shared" si="27"/>
        <v>96016</v>
      </c>
      <c r="V369" s="449">
        <v>46433</v>
      </c>
      <c r="W369" s="450">
        <v>46748</v>
      </c>
      <c r="X369" s="449">
        <v>27141</v>
      </c>
      <c r="Y369" s="450">
        <v>26230</v>
      </c>
      <c r="Z369" s="449">
        <v>19846</v>
      </c>
      <c r="AA369" s="449"/>
      <c r="AB369" s="449"/>
      <c r="AC369" s="450">
        <v>23038</v>
      </c>
      <c r="AD369" s="450"/>
      <c r="AE369" s="450"/>
      <c r="AF369" s="449"/>
      <c r="AG369" s="450"/>
    </row>
    <row r="370" spans="1:33">
      <c r="A370" s="126" t="s">
        <v>401</v>
      </c>
      <c r="B370" s="95" t="s">
        <v>403</v>
      </c>
      <c r="C370" s="96"/>
      <c r="D370" s="127">
        <v>218663</v>
      </c>
      <c r="E370" s="97">
        <v>1</v>
      </c>
      <c r="F370" s="447">
        <f t="shared" si="24"/>
        <v>808864</v>
      </c>
      <c r="G370" s="448">
        <f t="shared" si="25"/>
        <v>818438</v>
      </c>
      <c r="H370" s="449">
        <v>706804</v>
      </c>
      <c r="I370" s="450">
        <v>702948</v>
      </c>
      <c r="J370" s="449">
        <v>11778</v>
      </c>
      <c r="K370" s="450">
        <v>12733</v>
      </c>
      <c r="L370" s="449">
        <v>90225</v>
      </c>
      <c r="M370" s="449">
        <v>57</v>
      </c>
      <c r="N370" s="449"/>
      <c r="O370" s="450">
        <v>102751</v>
      </c>
      <c r="P370" s="450">
        <v>6</v>
      </c>
      <c r="Q370" s="450"/>
      <c r="R370" s="449"/>
      <c r="S370" s="450"/>
      <c r="T370" s="447">
        <f t="shared" si="26"/>
        <v>170000</v>
      </c>
      <c r="U370" s="448">
        <f t="shared" si="27"/>
        <v>176268</v>
      </c>
      <c r="V370" s="449">
        <v>123981</v>
      </c>
      <c r="W370" s="450">
        <v>130112</v>
      </c>
      <c r="X370" s="449">
        <v>2801</v>
      </c>
      <c r="Y370" s="450">
        <v>3522</v>
      </c>
      <c r="Z370" s="449">
        <v>31235</v>
      </c>
      <c r="AA370" s="449">
        <v>11983</v>
      </c>
      <c r="AB370" s="449"/>
      <c r="AC370" s="450">
        <v>32381</v>
      </c>
      <c r="AD370" s="450">
        <v>10253</v>
      </c>
      <c r="AE370" s="450"/>
      <c r="AF370" s="449"/>
      <c r="AG370" s="450"/>
    </row>
    <row r="371" spans="1:33">
      <c r="A371" s="126" t="s">
        <v>401</v>
      </c>
      <c r="B371" s="95" t="s">
        <v>404</v>
      </c>
      <c r="C371" s="96"/>
      <c r="D371" s="127">
        <v>217819</v>
      </c>
      <c r="E371" s="97">
        <v>3</v>
      </c>
      <c r="F371" s="447">
        <f t="shared" si="24"/>
        <v>293389</v>
      </c>
      <c r="G371" s="448">
        <f t="shared" si="25"/>
        <v>286655</v>
      </c>
      <c r="H371" s="449">
        <v>267919</v>
      </c>
      <c r="I371" s="450">
        <v>251059</v>
      </c>
      <c r="J371" s="449">
        <v>4927</v>
      </c>
      <c r="K371" s="450">
        <v>7221</v>
      </c>
      <c r="L371" s="449">
        <v>20543</v>
      </c>
      <c r="M371" s="449"/>
      <c r="N371" s="449"/>
      <c r="O371" s="450">
        <v>28375</v>
      </c>
      <c r="P371" s="450"/>
      <c r="Q371" s="450"/>
      <c r="R371" s="449"/>
      <c r="S371" s="450"/>
      <c r="T371" s="447">
        <f t="shared" si="26"/>
        <v>13433</v>
      </c>
      <c r="U371" s="448">
        <f t="shared" si="27"/>
        <v>13742</v>
      </c>
      <c r="V371" s="449">
        <v>6905</v>
      </c>
      <c r="W371" s="450">
        <v>6966</v>
      </c>
      <c r="X371" s="449">
        <v>1837</v>
      </c>
      <c r="Y371" s="450">
        <v>1348</v>
      </c>
      <c r="Z371" s="449">
        <v>4691</v>
      </c>
      <c r="AA371" s="449"/>
      <c r="AB371" s="449"/>
      <c r="AC371" s="450">
        <v>5428</v>
      </c>
      <c r="AD371" s="450"/>
      <c r="AE371" s="450"/>
      <c r="AF371" s="449"/>
      <c r="AG371" s="450"/>
    </row>
    <row r="372" spans="1:33">
      <c r="A372" s="126" t="s">
        <v>401</v>
      </c>
      <c r="B372" s="95" t="s">
        <v>405</v>
      </c>
      <c r="C372" s="99"/>
      <c r="D372" s="127">
        <v>217864</v>
      </c>
      <c r="E372" s="97">
        <v>3</v>
      </c>
      <c r="F372" s="447">
        <f t="shared" si="24"/>
        <v>100553</v>
      </c>
      <c r="G372" s="448">
        <f t="shared" si="25"/>
        <v>100806</v>
      </c>
      <c r="H372" s="449">
        <v>95474</v>
      </c>
      <c r="I372" s="450">
        <v>94645</v>
      </c>
      <c r="J372" s="449">
        <v>58</v>
      </c>
      <c r="K372" s="450">
        <v>129</v>
      </c>
      <c r="L372" s="449">
        <v>5021</v>
      </c>
      <c r="M372" s="449"/>
      <c r="N372" s="449"/>
      <c r="O372" s="450">
        <v>6032</v>
      </c>
      <c r="P372" s="450"/>
      <c r="Q372" s="450"/>
      <c r="R372" s="449"/>
      <c r="S372" s="450"/>
      <c r="T372" s="447">
        <f t="shared" si="26"/>
        <v>15405</v>
      </c>
      <c r="U372" s="448">
        <f t="shared" si="27"/>
        <v>15052</v>
      </c>
      <c r="V372" s="449">
        <v>7190</v>
      </c>
      <c r="W372" s="450">
        <v>6557</v>
      </c>
      <c r="X372" s="449">
        <v>1386</v>
      </c>
      <c r="Y372" s="450">
        <v>1296</v>
      </c>
      <c r="Z372" s="449">
        <v>6829</v>
      </c>
      <c r="AA372" s="449"/>
      <c r="AB372" s="449"/>
      <c r="AC372" s="450">
        <v>7199</v>
      </c>
      <c r="AD372" s="450"/>
      <c r="AE372" s="450"/>
      <c r="AF372" s="449"/>
      <c r="AG372" s="450"/>
    </row>
    <row r="373" spans="1:33" s="27" customFormat="1" ht="13.5" customHeight="1">
      <c r="A373" s="126" t="s">
        <v>401</v>
      </c>
      <c r="B373" s="95" t="s">
        <v>406</v>
      </c>
      <c r="C373" s="96"/>
      <c r="D373" s="127">
        <v>218964</v>
      </c>
      <c r="E373" s="97">
        <v>3</v>
      </c>
      <c r="F373" s="447">
        <f t="shared" si="24"/>
        <v>143981</v>
      </c>
      <c r="G373" s="448">
        <f t="shared" si="25"/>
        <v>138374</v>
      </c>
      <c r="H373" s="449">
        <v>124625.5</v>
      </c>
      <c r="I373" s="450">
        <v>118718.5</v>
      </c>
      <c r="J373" s="449">
        <v>2545.5</v>
      </c>
      <c r="K373" s="450">
        <v>2315</v>
      </c>
      <c r="L373" s="449">
        <v>16810</v>
      </c>
      <c r="M373" s="449"/>
      <c r="N373" s="449"/>
      <c r="O373" s="450">
        <v>17340.5</v>
      </c>
      <c r="P373" s="450"/>
      <c r="Q373" s="450"/>
      <c r="R373" s="449"/>
      <c r="S373" s="450"/>
      <c r="T373" s="447">
        <f t="shared" si="26"/>
        <v>12567.5</v>
      </c>
      <c r="U373" s="448">
        <f t="shared" si="27"/>
        <v>13673</v>
      </c>
      <c r="V373" s="449">
        <v>9359.5</v>
      </c>
      <c r="W373" s="450">
        <v>8138</v>
      </c>
      <c r="X373" s="449">
        <v>730</v>
      </c>
      <c r="Y373" s="450">
        <v>764</v>
      </c>
      <c r="Z373" s="449">
        <v>2478</v>
      </c>
      <c r="AA373" s="449"/>
      <c r="AB373" s="449"/>
      <c r="AC373" s="450">
        <v>4771</v>
      </c>
      <c r="AD373" s="450"/>
      <c r="AE373" s="450"/>
      <c r="AF373" s="449"/>
      <c r="AG373" s="450"/>
    </row>
    <row r="374" spans="1:33" s="27" customFormat="1" ht="12.75" customHeight="1">
      <c r="A374" s="126" t="s">
        <v>401</v>
      </c>
      <c r="B374" s="95" t="s">
        <v>407</v>
      </c>
      <c r="C374" s="129"/>
      <c r="D374" s="127">
        <v>218724</v>
      </c>
      <c r="E374" s="97">
        <v>4</v>
      </c>
      <c r="F374" s="447">
        <f t="shared" si="24"/>
        <v>292069</v>
      </c>
      <c r="G374" s="448">
        <f t="shared" si="25"/>
        <v>290884</v>
      </c>
      <c r="H374" s="449">
        <v>238856</v>
      </c>
      <c r="I374" s="450">
        <v>234393</v>
      </c>
      <c r="J374" s="449">
        <v>2530</v>
      </c>
      <c r="K374" s="450">
        <v>2407</v>
      </c>
      <c r="L374" s="449">
        <v>50683</v>
      </c>
      <c r="M374" s="449"/>
      <c r="N374" s="449"/>
      <c r="O374" s="450">
        <v>54084</v>
      </c>
      <c r="P374" s="450"/>
      <c r="Q374" s="450"/>
      <c r="R374" s="449"/>
      <c r="S374" s="450"/>
      <c r="T374" s="447">
        <f t="shared" si="26"/>
        <v>13125</v>
      </c>
      <c r="U374" s="448">
        <f t="shared" si="27"/>
        <v>12890</v>
      </c>
      <c r="V374" s="449">
        <v>4806</v>
      </c>
      <c r="W374" s="450">
        <v>5438</v>
      </c>
      <c r="X374" s="449">
        <v>1254</v>
      </c>
      <c r="Y374" s="450">
        <v>1408</v>
      </c>
      <c r="Z374" s="449">
        <v>7065</v>
      </c>
      <c r="AA374" s="449"/>
      <c r="AB374" s="449"/>
      <c r="AC374" s="450">
        <v>6044</v>
      </c>
      <c r="AD374" s="450"/>
      <c r="AE374" s="450"/>
      <c r="AF374" s="449"/>
      <c r="AG374" s="450"/>
    </row>
    <row r="375" spans="1:33" ht="14.5">
      <c r="A375" s="126" t="s">
        <v>401</v>
      </c>
      <c r="B375" s="95" t="s">
        <v>408</v>
      </c>
      <c r="C375" s="128"/>
      <c r="D375" s="127">
        <v>218061</v>
      </c>
      <c r="E375" s="97">
        <v>5</v>
      </c>
      <c r="F375" s="447">
        <f t="shared" si="24"/>
        <v>87859</v>
      </c>
      <c r="G375" s="448">
        <f t="shared" si="25"/>
        <v>85316</v>
      </c>
      <c r="H375" s="449">
        <v>80875</v>
      </c>
      <c r="I375" s="450">
        <v>75448</v>
      </c>
      <c r="J375" s="449">
        <v>770</v>
      </c>
      <c r="K375" s="450">
        <v>1323</v>
      </c>
      <c r="L375" s="449">
        <v>6214</v>
      </c>
      <c r="M375" s="449"/>
      <c r="N375" s="449"/>
      <c r="O375" s="450">
        <v>8545</v>
      </c>
      <c r="P375" s="450"/>
      <c r="Q375" s="450"/>
      <c r="R375" s="449"/>
      <c r="S375" s="450"/>
      <c r="T375" s="447">
        <f t="shared" si="26"/>
        <v>8041</v>
      </c>
      <c r="U375" s="448">
        <f t="shared" si="27"/>
        <v>6583</v>
      </c>
      <c r="V375" s="449">
        <v>4888</v>
      </c>
      <c r="W375" s="450">
        <v>3531</v>
      </c>
      <c r="X375" s="449">
        <v>908</v>
      </c>
      <c r="Y375" s="450"/>
      <c r="Z375" s="449">
        <v>2245</v>
      </c>
      <c r="AA375" s="449"/>
      <c r="AB375" s="449"/>
      <c r="AC375" s="450">
        <v>3052</v>
      </c>
      <c r="AD375" s="450"/>
      <c r="AE375" s="450"/>
      <c r="AF375" s="449"/>
      <c r="AG375" s="450"/>
    </row>
    <row r="376" spans="1:33" s="27" customFormat="1" ht="12.75" customHeight="1">
      <c r="A376" s="126" t="s">
        <v>401</v>
      </c>
      <c r="B376" s="95" t="s">
        <v>409</v>
      </c>
      <c r="C376" s="128"/>
      <c r="D376" s="127">
        <v>218733</v>
      </c>
      <c r="E376" s="97">
        <v>5</v>
      </c>
      <c r="F376" s="447">
        <f t="shared" si="24"/>
        <v>68036</v>
      </c>
      <c r="G376" s="448">
        <f t="shared" si="25"/>
        <v>63835</v>
      </c>
      <c r="H376" s="449">
        <v>61512</v>
      </c>
      <c r="I376" s="450">
        <v>56176</v>
      </c>
      <c r="J376" s="449"/>
      <c r="K376" s="450"/>
      <c r="L376" s="449">
        <v>6524</v>
      </c>
      <c r="M376" s="449"/>
      <c r="N376" s="449"/>
      <c r="O376" s="450">
        <v>7659</v>
      </c>
      <c r="P376" s="450"/>
      <c r="Q376" s="450"/>
      <c r="R376" s="449"/>
      <c r="S376" s="450"/>
      <c r="T376" s="447">
        <f t="shared" si="26"/>
        <v>8239</v>
      </c>
      <c r="U376" s="448">
        <f t="shared" si="27"/>
        <v>6113</v>
      </c>
      <c r="V376" s="449">
        <v>7150</v>
      </c>
      <c r="W376" s="450">
        <v>5264</v>
      </c>
      <c r="X376" s="449"/>
      <c r="Y376" s="450"/>
      <c r="Z376" s="449">
        <v>1032</v>
      </c>
      <c r="AA376" s="449">
        <v>57</v>
      </c>
      <c r="AB376" s="449"/>
      <c r="AC376" s="450">
        <v>825</v>
      </c>
      <c r="AD376" s="450">
        <v>24</v>
      </c>
      <c r="AE376" s="450"/>
      <c r="AF376" s="449"/>
      <c r="AG376" s="450"/>
    </row>
    <row r="377" spans="1:33" ht="14.5">
      <c r="A377" s="126" t="s">
        <v>401</v>
      </c>
      <c r="B377" s="95" t="s">
        <v>410</v>
      </c>
      <c r="C377" s="128" t="s">
        <v>784</v>
      </c>
      <c r="D377" s="127">
        <v>218229</v>
      </c>
      <c r="E377" s="97">
        <v>6</v>
      </c>
      <c r="F377" s="447">
        <f t="shared" si="24"/>
        <v>82016.5</v>
      </c>
      <c r="G377" s="448">
        <f t="shared" si="25"/>
        <v>87864.5</v>
      </c>
      <c r="H377" s="449">
        <v>73509.5</v>
      </c>
      <c r="I377" s="450">
        <v>75733.5</v>
      </c>
      <c r="J377" s="449">
        <v>75</v>
      </c>
      <c r="K377" s="450">
        <v>36</v>
      </c>
      <c r="L377" s="449">
        <v>8432</v>
      </c>
      <c r="M377" s="449"/>
      <c r="N377" s="449"/>
      <c r="O377" s="450">
        <v>12095</v>
      </c>
      <c r="P377" s="450"/>
      <c r="Q377" s="450"/>
      <c r="R377" s="449"/>
      <c r="S377" s="450"/>
      <c r="T377" s="447">
        <f t="shared" si="26"/>
        <v>1610</v>
      </c>
      <c r="U377" s="448">
        <f t="shared" si="27"/>
        <v>1553</v>
      </c>
      <c r="V377" s="449">
        <v>495</v>
      </c>
      <c r="W377" s="450">
        <v>462</v>
      </c>
      <c r="X377" s="449"/>
      <c r="Y377" s="450"/>
      <c r="Z377" s="449">
        <v>1115</v>
      </c>
      <c r="AA377" s="449"/>
      <c r="AB377" s="449"/>
      <c r="AC377" s="450">
        <v>1091</v>
      </c>
      <c r="AD377" s="450"/>
      <c r="AE377" s="450"/>
      <c r="AF377" s="449"/>
      <c r="AG377" s="450"/>
    </row>
    <row r="378" spans="1:33" s="27" customFormat="1" ht="15" customHeight="1">
      <c r="A378" s="126" t="s">
        <v>401</v>
      </c>
      <c r="B378" s="95" t="s">
        <v>411</v>
      </c>
      <c r="C378" s="128" t="s">
        <v>784</v>
      </c>
      <c r="D378" s="127">
        <v>218645</v>
      </c>
      <c r="E378" s="97">
        <v>6</v>
      </c>
      <c r="F378" s="447">
        <f t="shared" si="24"/>
        <v>91856</v>
      </c>
      <c r="G378" s="448">
        <f t="shared" si="25"/>
        <v>86188</v>
      </c>
      <c r="H378" s="449">
        <v>68797</v>
      </c>
      <c r="I378" s="450">
        <v>65050</v>
      </c>
      <c r="J378" s="449">
        <v>3837</v>
      </c>
      <c r="K378" s="450">
        <v>3554</v>
      </c>
      <c r="L378" s="449">
        <v>19222</v>
      </c>
      <c r="M378" s="449"/>
      <c r="N378" s="449"/>
      <c r="O378" s="450">
        <v>17584</v>
      </c>
      <c r="P378" s="450"/>
      <c r="Q378" s="450"/>
      <c r="R378" s="449"/>
      <c r="S378" s="450"/>
      <c r="T378" s="447">
        <f t="shared" si="26"/>
        <v>1610</v>
      </c>
      <c r="U378" s="448">
        <f t="shared" si="27"/>
        <v>6315</v>
      </c>
      <c r="V378" s="449">
        <v>428</v>
      </c>
      <c r="W378" s="450">
        <v>566</v>
      </c>
      <c r="X378" s="449"/>
      <c r="Y378" s="450"/>
      <c r="Z378" s="449">
        <v>1182</v>
      </c>
      <c r="AA378" s="449"/>
      <c r="AB378" s="449"/>
      <c r="AC378" s="450">
        <v>5749</v>
      </c>
      <c r="AD378" s="450"/>
      <c r="AE378" s="450"/>
      <c r="AF378" s="449"/>
      <c r="AG378" s="450"/>
    </row>
    <row r="379" spans="1:33" s="27" customFormat="1" ht="15" customHeight="1">
      <c r="A379" s="126" t="s">
        <v>401</v>
      </c>
      <c r="B379" s="100" t="s">
        <v>412</v>
      </c>
      <c r="C379" s="128"/>
      <c r="D379" s="127">
        <v>218654</v>
      </c>
      <c r="E379" s="97">
        <v>6</v>
      </c>
      <c r="F379" s="447">
        <f t="shared" si="24"/>
        <v>58819</v>
      </c>
      <c r="G379" s="448">
        <f t="shared" si="25"/>
        <v>59462</v>
      </c>
      <c r="H379" s="449">
        <v>40441</v>
      </c>
      <c r="I379" s="450">
        <v>40140</v>
      </c>
      <c r="J379" s="449">
        <v>2781</v>
      </c>
      <c r="K379" s="450">
        <v>3813</v>
      </c>
      <c r="L379" s="449">
        <v>15597</v>
      </c>
      <c r="M379" s="449"/>
      <c r="N379" s="449"/>
      <c r="O379" s="450">
        <v>15509</v>
      </c>
      <c r="P379" s="450"/>
      <c r="Q379" s="450"/>
      <c r="R379" s="449"/>
      <c r="S379" s="450"/>
      <c r="T379" s="447">
        <f t="shared" si="26"/>
        <v>0</v>
      </c>
      <c r="U379" s="448">
        <f t="shared" si="27"/>
        <v>39</v>
      </c>
      <c r="V379" s="449"/>
      <c r="W379" s="450">
        <v>39</v>
      </c>
      <c r="X379" s="449"/>
      <c r="Y379" s="450"/>
      <c r="Z379" s="449"/>
      <c r="AA379" s="449"/>
      <c r="AB379" s="449"/>
      <c r="AC379" s="450"/>
      <c r="AD379" s="450"/>
      <c r="AE379" s="450"/>
      <c r="AF379" s="449"/>
      <c r="AG379" s="450"/>
    </row>
    <row r="380" spans="1:33" s="27" customFormat="1" ht="15" customHeight="1">
      <c r="A380" s="126" t="s">
        <v>401</v>
      </c>
      <c r="B380" s="95" t="s">
        <v>413</v>
      </c>
      <c r="C380" s="128"/>
      <c r="D380" s="127">
        <v>218742</v>
      </c>
      <c r="E380" s="97">
        <v>6</v>
      </c>
      <c r="F380" s="447">
        <f t="shared" si="24"/>
        <v>159493</v>
      </c>
      <c r="G380" s="448">
        <f t="shared" si="25"/>
        <v>156255</v>
      </c>
      <c r="H380" s="449">
        <v>111564</v>
      </c>
      <c r="I380" s="450">
        <v>106954</v>
      </c>
      <c r="J380" s="449">
        <v>8304</v>
      </c>
      <c r="K380" s="450">
        <v>9960</v>
      </c>
      <c r="L380" s="449">
        <v>39625</v>
      </c>
      <c r="M380" s="449"/>
      <c r="N380" s="449"/>
      <c r="O380" s="450">
        <v>39341</v>
      </c>
      <c r="P380" s="450"/>
      <c r="Q380" s="450"/>
      <c r="R380" s="449"/>
      <c r="S380" s="450"/>
      <c r="T380" s="447">
        <f t="shared" si="26"/>
        <v>1636</v>
      </c>
      <c r="U380" s="448">
        <f t="shared" si="27"/>
        <v>5254</v>
      </c>
      <c r="V380" s="449">
        <v>294</v>
      </c>
      <c r="W380" s="450">
        <v>3516</v>
      </c>
      <c r="X380" s="449">
        <v>18</v>
      </c>
      <c r="Y380" s="450">
        <v>1034</v>
      </c>
      <c r="Z380" s="449">
        <v>1324</v>
      </c>
      <c r="AA380" s="449"/>
      <c r="AB380" s="449"/>
      <c r="AC380" s="450">
        <v>704</v>
      </c>
      <c r="AD380" s="450"/>
      <c r="AE380" s="450"/>
      <c r="AF380" s="449"/>
      <c r="AG380" s="450"/>
    </row>
    <row r="381" spans="1:33" s="27" customFormat="1" ht="15" customHeight="1">
      <c r="A381" s="126" t="s">
        <v>401</v>
      </c>
      <c r="B381" s="95" t="s">
        <v>415</v>
      </c>
      <c r="C381" s="128"/>
      <c r="D381" s="127">
        <v>218113</v>
      </c>
      <c r="E381" s="97">
        <v>8</v>
      </c>
      <c r="F381" s="447">
        <f t="shared" si="24"/>
        <v>229910</v>
      </c>
      <c r="G381" s="448">
        <f t="shared" si="25"/>
        <v>228040</v>
      </c>
      <c r="H381" s="449">
        <v>139527</v>
      </c>
      <c r="I381" s="450">
        <v>142775</v>
      </c>
      <c r="J381" s="449">
        <v>14789</v>
      </c>
      <c r="K381" s="450">
        <v>15840</v>
      </c>
      <c r="L381" s="449">
        <v>75594</v>
      </c>
      <c r="M381" s="449"/>
      <c r="N381" s="449"/>
      <c r="O381" s="450">
        <v>69425</v>
      </c>
      <c r="P381" s="450"/>
      <c r="Q381" s="450"/>
      <c r="R381" s="449"/>
      <c r="S381" s="450"/>
      <c r="T381" s="447">
        <f t="shared" si="26"/>
        <v>0</v>
      </c>
      <c r="U381" s="448">
        <f t="shared" si="27"/>
        <v>0</v>
      </c>
      <c r="V381" s="449"/>
      <c r="W381" s="450"/>
      <c r="X381" s="449"/>
      <c r="Y381" s="450"/>
      <c r="Z381" s="449"/>
      <c r="AA381" s="449"/>
      <c r="AB381" s="449"/>
      <c r="AC381" s="450"/>
      <c r="AD381" s="450"/>
      <c r="AE381" s="450"/>
      <c r="AF381" s="449"/>
      <c r="AG381" s="450"/>
    </row>
    <row r="382" spans="1:33" s="27" customFormat="1" ht="15" customHeight="1">
      <c r="A382" s="126" t="s">
        <v>401</v>
      </c>
      <c r="B382" s="103" t="s">
        <v>416</v>
      </c>
      <c r="C382" s="128"/>
      <c r="D382" s="127">
        <v>218140</v>
      </c>
      <c r="E382" s="97">
        <v>8</v>
      </c>
      <c r="F382" s="447">
        <f t="shared" si="24"/>
        <v>155687</v>
      </c>
      <c r="G382" s="448">
        <f t="shared" si="25"/>
        <v>154207</v>
      </c>
      <c r="H382" s="449">
        <v>97399</v>
      </c>
      <c r="I382" s="450">
        <v>95030</v>
      </c>
      <c r="J382" s="449">
        <v>7958</v>
      </c>
      <c r="K382" s="450">
        <v>6745</v>
      </c>
      <c r="L382" s="449">
        <v>50330</v>
      </c>
      <c r="M382" s="449"/>
      <c r="N382" s="449"/>
      <c r="O382" s="450">
        <v>52432</v>
      </c>
      <c r="P382" s="450"/>
      <c r="Q382" s="450"/>
      <c r="R382" s="449"/>
      <c r="S382" s="450"/>
      <c r="T382" s="447">
        <f t="shared" si="26"/>
        <v>0</v>
      </c>
      <c r="U382" s="448">
        <f t="shared" si="27"/>
        <v>0</v>
      </c>
      <c r="V382" s="449"/>
      <c r="W382" s="450"/>
      <c r="X382" s="449"/>
      <c r="Y382" s="450"/>
      <c r="Z382" s="449"/>
      <c r="AA382" s="449"/>
      <c r="AB382" s="449"/>
      <c r="AC382" s="450"/>
      <c r="AD382" s="450"/>
      <c r="AE382" s="450"/>
      <c r="AF382" s="449"/>
      <c r="AG382" s="450"/>
    </row>
    <row r="383" spans="1:33" s="27" customFormat="1" ht="15" customHeight="1">
      <c r="A383" s="126" t="s">
        <v>401</v>
      </c>
      <c r="B383" s="95" t="s">
        <v>417</v>
      </c>
      <c r="C383" s="128"/>
      <c r="D383" s="127">
        <v>218353</v>
      </c>
      <c r="E383" s="97">
        <v>8</v>
      </c>
      <c r="F383" s="447">
        <f t="shared" si="24"/>
        <v>218410</v>
      </c>
      <c r="G383" s="448">
        <f t="shared" si="25"/>
        <v>203271</v>
      </c>
      <c r="H383" s="449">
        <v>144739</v>
      </c>
      <c r="I383" s="450">
        <v>130286</v>
      </c>
      <c r="J383" s="449">
        <v>15930</v>
      </c>
      <c r="K383" s="450">
        <v>15492</v>
      </c>
      <c r="L383" s="449">
        <v>57741</v>
      </c>
      <c r="M383" s="449"/>
      <c r="N383" s="449"/>
      <c r="O383" s="450">
        <v>57493</v>
      </c>
      <c r="P383" s="450"/>
      <c r="Q383" s="450"/>
      <c r="R383" s="449"/>
      <c r="S383" s="450"/>
      <c r="T383" s="447">
        <f t="shared" si="26"/>
        <v>0</v>
      </c>
      <c r="U383" s="448">
        <f t="shared" si="27"/>
        <v>0</v>
      </c>
      <c r="V383" s="449"/>
      <c r="W383" s="450"/>
      <c r="X383" s="449"/>
      <c r="Y383" s="450"/>
      <c r="Z383" s="449"/>
      <c r="AA383" s="449"/>
      <c r="AB383" s="449"/>
      <c r="AC383" s="450"/>
      <c r="AD383" s="450"/>
      <c r="AE383" s="450"/>
      <c r="AF383" s="449"/>
      <c r="AG383" s="450"/>
    </row>
    <row r="384" spans="1:33" s="27" customFormat="1" ht="15" customHeight="1">
      <c r="A384" s="126" t="s">
        <v>401</v>
      </c>
      <c r="B384" s="95" t="s">
        <v>420</v>
      </c>
      <c r="C384" s="128"/>
      <c r="D384" s="127">
        <v>218894</v>
      </c>
      <c r="E384" s="97">
        <v>8</v>
      </c>
      <c r="F384" s="447">
        <f t="shared" si="24"/>
        <v>255420</v>
      </c>
      <c r="G384" s="448">
        <f t="shared" si="25"/>
        <v>251840</v>
      </c>
      <c r="H384" s="449">
        <v>103857</v>
      </c>
      <c r="I384" s="450">
        <v>94044</v>
      </c>
      <c r="J384" s="449">
        <v>20816</v>
      </c>
      <c r="K384" s="450">
        <v>22170</v>
      </c>
      <c r="L384" s="449">
        <v>130747</v>
      </c>
      <c r="M384" s="449"/>
      <c r="N384" s="449"/>
      <c r="O384" s="450">
        <v>135626</v>
      </c>
      <c r="P384" s="450"/>
      <c r="Q384" s="450"/>
      <c r="R384" s="449"/>
      <c r="S384" s="450"/>
      <c r="T384" s="447">
        <f t="shared" si="26"/>
        <v>0</v>
      </c>
      <c r="U384" s="448">
        <f t="shared" si="27"/>
        <v>0</v>
      </c>
      <c r="V384" s="449"/>
      <c r="W384" s="450"/>
      <c r="X384" s="449"/>
      <c r="Y384" s="450"/>
      <c r="Z384" s="449"/>
      <c r="AA384" s="449"/>
      <c r="AB384" s="449"/>
      <c r="AC384" s="450"/>
      <c r="AD384" s="450"/>
      <c r="AE384" s="450"/>
      <c r="AF384" s="449"/>
      <c r="AG384" s="450"/>
    </row>
    <row r="385" spans="1:33" s="27" customFormat="1" ht="15" customHeight="1">
      <c r="A385" s="126" t="s">
        <v>401</v>
      </c>
      <c r="B385" s="95" t="s">
        <v>422</v>
      </c>
      <c r="C385" s="128"/>
      <c r="D385" s="127">
        <v>218858</v>
      </c>
      <c r="E385" s="97">
        <v>9</v>
      </c>
      <c r="F385" s="447">
        <f t="shared" si="24"/>
        <v>76761</v>
      </c>
      <c r="G385" s="448">
        <f t="shared" si="25"/>
        <v>73177</v>
      </c>
      <c r="H385" s="449">
        <v>42570</v>
      </c>
      <c r="I385" s="450">
        <v>36888</v>
      </c>
      <c r="J385" s="449">
        <v>3155</v>
      </c>
      <c r="K385" s="450">
        <v>3978</v>
      </c>
      <c r="L385" s="449">
        <v>31036</v>
      </c>
      <c r="M385" s="449"/>
      <c r="N385" s="449"/>
      <c r="O385" s="450">
        <v>32311</v>
      </c>
      <c r="P385" s="450"/>
      <c r="Q385" s="450"/>
      <c r="R385" s="449"/>
      <c r="S385" s="450"/>
      <c r="T385" s="447">
        <f t="shared" si="26"/>
        <v>0</v>
      </c>
      <c r="U385" s="448">
        <f t="shared" si="27"/>
        <v>0</v>
      </c>
      <c r="V385" s="449"/>
      <c r="W385" s="450"/>
      <c r="X385" s="449"/>
      <c r="Y385" s="450"/>
      <c r="Z385" s="449"/>
      <c r="AA385" s="449"/>
      <c r="AB385" s="449"/>
      <c r="AC385" s="450"/>
      <c r="AD385" s="450"/>
      <c r="AE385" s="450"/>
      <c r="AF385" s="449"/>
      <c r="AG385" s="450"/>
    </row>
    <row r="386" spans="1:33" s="27" customFormat="1" ht="15" customHeight="1">
      <c r="A386" s="126" t="s">
        <v>401</v>
      </c>
      <c r="B386" s="103" t="s">
        <v>414</v>
      </c>
      <c r="C386" s="129"/>
      <c r="D386" s="127">
        <v>218025</v>
      </c>
      <c r="E386" s="97">
        <v>9</v>
      </c>
      <c r="F386" s="447">
        <f t="shared" si="24"/>
        <v>77988</v>
      </c>
      <c r="G386" s="448">
        <f t="shared" si="25"/>
        <v>78530</v>
      </c>
      <c r="H386" s="449">
        <v>38487</v>
      </c>
      <c r="I386" s="450">
        <v>46857</v>
      </c>
      <c r="J386" s="449">
        <v>7034</v>
      </c>
      <c r="K386" s="450">
        <v>5720</v>
      </c>
      <c r="L386" s="449">
        <v>27850</v>
      </c>
      <c r="M386" s="449">
        <v>4617</v>
      </c>
      <c r="N386" s="449"/>
      <c r="O386" s="450">
        <v>22744</v>
      </c>
      <c r="P386" s="450">
        <v>3209</v>
      </c>
      <c r="Q386" s="450"/>
      <c r="R386" s="449"/>
      <c r="S386" s="450"/>
      <c r="T386" s="447">
        <f t="shared" si="26"/>
        <v>0</v>
      </c>
      <c r="U386" s="448">
        <f t="shared" si="27"/>
        <v>0</v>
      </c>
      <c r="V386" s="449"/>
      <c r="W386" s="450"/>
      <c r="X386" s="449"/>
      <c r="Y386" s="450"/>
      <c r="Z386" s="449"/>
      <c r="AA386" s="449"/>
      <c r="AB386" s="449"/>
      <c r="AC386" s="450"/>
      <c r="AD386" s="450"/>
      <c r="AE386" s="450"/>
      <c r="AF386" s="449"/>
      <c r="AG386" s="450"/>
    </row>
    <row r="387" spans="1:33" s="27" customFormat="1" ht="15" customHeight="1">
      <c r="A387" s="126" t="s">
        <v>401</v>
      </c>
      <c r="B387" s="103" t="s">
        <v>418</v>
      </c>
      <c r="C387" s="129"/>
      <c r="D387" s="127">
        <v>218520</v>
      </c>
      <c r="E387" s="97">
        <v>9</v>
      </c>
      <c r="F387" s="447">
        <f t="shared" si="24"/>
        <v>98532</v>
      </c>
      <c r="G387" s="448">
        <f t="shared" si="25"/>
        <v>103825</v>
      </c>
      <c r="H387" s="449">
        <v>39325</v>
      </c>
      <c r="I387" s="450">
        <v>39867</v>
      </c>
      <c r="J387" s="449">
        <v>10595</v>
      </c>
      <c r="K387" s="450">
        <v>12139</v>
      </c>
      <c r="L387" s="449">
        <v>42863</v>
      </c>
      <c r="M387" s="449">
        <v>5749</v>
      </c>
      <c r="N387" s="449"/>
      <c r="O387" s="450">
        <v>45622</v>
      </c>
      <c r="P387" s="450">
        <v>6197</v>
      </c>
      <c r="Q387" s="450"/>
      <c r="R387" s="449"/>
      <c r="S387" s="450"/>
      <c r="T387" s="447">
        <f t="shared" si="26"/>
        <v>0</v>
      </c>
      <c r="U387" s="448">
        <f t="shared" si="27"/>
        <v>0</v>
      </c>
      <c r="V387" s="449"/>
      <c r="W387" s="450"/>
      <c r="X387" s="449"/>
      <c r="Y387" s="450"/>
      <c r="Z387" s="449"/>
      <c r="AA387" s="449"/>
      <c r="AB387" s="449"/>
      <c r="AC387" s="450"/>
      <c r="AD387" s="450"/>
      <c r="AE387" s="450"/>
      <c r="AF387" s="449"/>
      <c r="AG387" s="450"/>
    </row>
    <row r="388" spans="1:33" s="27" customFormat="1" ht="15" customHeight="1">
      <c r="A388" s="126" t="s">
        <v>401</v>
      </c>
      <c r="B388" s="103" t="s">
        <v>424</v>
      </c>
      <c r="C388" s="128"/>
      <c r="D388" s="127">
        <v>218830</v>
      </c>
      <c r="E388" s="97">
        <v>9</v>
      </c>
      <c r="F388" s="447">
        <f t="shared" si="24"/>
        <v>96953</v>
      </c>
      <c r="G388" s="448">
        <f t="shared" si="25"/>
        <v>97123</v>
      </c>
      <c r="H388" s="449">
        <v>63688</v>
      </c>
      <c r="I388" s="450">
        <v>61816</v>
      </c>
      <c r="J388" s="449">
        <v>9668</v>
      </c>
      <c r="K388" s="450">
        <v>10427</v>
      </c>
      <c r="L388" s="449">
        <v>23597</v>
      </c>
      <c r="M388" s="449"/>
      <c r="N388" s="449"/>
      <c r="O388" s="450">
        <v>24880</v>
      </c>
      <c r="P388" s="450"/>
      <c r="Q388" s="450"/>
      <c r="R388" s="449"/>
      <c r="S388" s="450"/>
      <c r="T388" s="447">
        <f t="shared" si="26"/>
        <v>0</v>
      </c>
      <c r="U388" s="448">
        <f t="shared" si="27"/>
        <v>0</v>
      </c>
      <c r="V388" s="449"/>
      <c r="W388" s="450"/>
      <c r="X388" s="449"/>
      <c r="Y388" s="450"/>
      <c r="Z388" s="449"/>
      <c r="AA388" s="449"/>
      <c r="AB388" s="449"/>
      <c r="AC388" s="450"/>
      <c r="AD388" s="450"/>
      <c r="AE388" s="450"/>
      <c r="AF388" s="449"/>
      <c r="AG388" s="450"/>
    </row>
    <row r="389" spans="1:33" s="27" customFormat="1" ht="15" customHeight="1">
      <c r="A389" s="126" t="s">
        <v>401</v>
      </c>
      <c r="B389" s="95" t="s">
        <v>419</v>
      </c>
      <c r="C389" s="129"/>
      <c r="D389" s="127">
        <v>218885</v>
      </c>
      <c r="E389" s="97">
        <v>9</v>
      </c>
      <c r="F389" s="447">
        <f t="shared" si="24"/>
        <v>143894</v>
      </c>
      <c r="G389" s="448">
        <f t="shared" si="25"/>
        <v>145876</v>
      </c>
      <c r="H389" s="449">
        <v>99028</v>
      </c>
      <c r="I389" s="450">
        <v>96691</v>
      </c>
      <c r="J389" s="449">
        <v>6327</v>
      </c>
      <c r="K389" s="450">
        <v>7278</v>
      </c>
      <c r="L389" s="449">
        <v>38539</v>
      </c>
      <c r="M389" s="449"/>
      <c r="N389" s="449"/>
      <c r="O389" s="450">
        <v>41907</v>
      </c>
      <c r="P389" s="450"/>
      <c r="Q389" s="450"/>
      <c r="R389" s="449"/>
      <c r="S389" s="450"/>
      <c r="T389" s="447">
        <f t="shared" si="26"/>
        <v>0</v>
      </c>
      <c r="U389" s="448">
        <f t="shared" si="27"/>
        <v>0</v>
      </c>
      <c r="V389" s="449"/>
      <c r="W389" s="450"/>
      <c r="X389" s="449"/>
      <c r="Y389" s="450"/>
      <c r="Z389" s="449"/>
      <c r="AA389" s="449"/>
      <c r="AB389" s="449"/>
      <c r="AC389" s="450"/>
      <c r="AD389" s="450"/>
      <c r="AE389" s="450"/>
      <c r="AF389" s="449"/>
      <c r="AG389" s="450"/>
    </row>
    <row r="390" spans="1:33" s="27" customFormat="1" ht="15" customHeight="1">
      <c r="A390" s="126" t="s">
        <v>401</v>
      </c>
      <c r="B390" s="103" t="s">
        <v>425</v>
      </c>
      <c r="C390" s="128"/>
      <c r="D390" s="127">
        <v>218991</v>
      </c>
      <c r="E390" s="97">
        <v>9</v>
      </c>
      <c r="F390" s="447">
        <f t="shared" si="24"/>
        <v>97786</v>
      </c>
      <c r="G390" s="448">
        <f t="shared" si="25"/>
        <v>99223</v>
      </c>
      <c r="H390" s="449">
        <v>65060</v>
      </c>
      <c r="I390" s="450">
        <v>49344</v>
      </c>
      <c r="J390" s="449">
        <v>5838</v>
      </c>
      <c r="K390" s="450">
        <v>6693</v>
      </c>
      <c r="L390" s="449">
        <v>26888</v>
      </c>
      <c r="M390" s="449"/>
      <c r="N390" s="449"/>
      <c r="O390" s="450">
        <v>43186</v>
      </c>
      <c r="P390" s="450"/>
      <c r="Q390" s="450"/>
      <c r="R390" s="449"/>
      <c r="S390" s="450"/>
      <c r="T390" s="447">
        <f t="shared" si="26"/>
        <v>0</v>
      </c>
      <c r="U390" s="448">
        <f t="shared" si="27"/>
        <v>0</v>
      </c>
      <c r="V390" s="449"/>
      <c r="W390" s="450"/>
      <c r="X390" s="449"/>
      <c r="Y390" s="450"/>
      <c r="Z390" s="449"/>
      <c r="AA390" s="449"/>
      <c r="AB390" s="449"/>
      <c r="AC390" s="450"/>
      <c r="AD390" s="450"/>
      <c r="AE390" s="450"/>
      <c r="AF390" s="449"/>
      <c r="AG390" s="450"/>
    </row>
    <row r="391" spans="1:33" s="27" customFormat="1" ht="15" customHeight="1">
      <c r="A391" s="126" t="s">
        <v>401</v>
      </c>
      <c r="B391" s="95" t="s">
        <v>421</v>
      </c>
      <c r="C391" s="129"/>
      <c r="D391" s="127">
        <v>217615</v>
      </c>
      <c r="E391" s="97">
        <v>10</v>
      </c>
      <c r="F391" s="447">
        <f t="shared" si="24"/>
        <v>49102</v>
      </c>
      <c r="G391" s="448">
        <f t="shared" si="25"/>
        <v>46634</v>
      </c>
      <c r="H391" s="449">
        <v>34114</v>
      </c>
      <c r="I391" s="450">
        <v>30978</v>
      </c>
      <c r="J391" s="449">
        <v>1569</v>
      </c>
      <c r="K391" s="450">
        <v>2864</v>
      </c>
      <c r="L391" s="449">
        <v>13419</v>
      </c>
      <c r="M391" s="449"/>
      <c r="N391" s="449"/>
      <c r="O391" s="450">
        <v>12792</v>
      </c>
      <c r="P391" s="450"/>
      <c r="Q391" s="450"/>
      <c r="R391" s="449"/>
      <c r="S391" s="450"/>
      <c r="T391" s="447">
        <f t="shared" si="26"/>
        <v>0</v>
      </c>
      <c r="U391" s="448">
        <f t="shared" si="27"/>
        <v>0</v>
      </c>
      <c r="V391" s="449"/>
      <c r="W391" s="450"/>
      <c r="X391" s="449"/>
      <c r="Y391" s="450"/>
      <c r="Z391" s="449"/>
      <c r="AA391" s="449"/>
      <c r="AB391" s="449"/>
      <c r="AC391" s="450"/>
      <c r="AD391" s="450"/>
      <c r="AE391" s="450"/>
      <c r="AF391" s="449"/>
      <c r="AG391" s="450"/>
    </row>
    <row r="392" spans="1:33" s="27" customFormat="1" ht="15" customHeight="1">
      <c r="A392" s="126" t="s">
        <v>401</v>
      </c>
      <c r="B392" s="95" t="s">
        <v>426</v>
      </c>
      <c r="C392" s="104"/>
      <c r="D392" s="127">
        <v>217989</v>
      </c>
      <c r="E392" s="97">
        <v>10</v>
      </c>
      <c r="F392" s="447">
        <f t="shared" si="24"/>
        <v>13691</v>
      </c>
      <c r="G392" s="448">
        <f t="shared" si="25"/>
        <v>11901</v>
      </c>
      <c r="H392" s="449">
        <v>6522</v>
      </c>
      <c r="I392" s="450">
        <v>5094</v>
      </c>
      <c r="J392" s="449">
        <v>1232</v>
      </c>
      <c r="K392" s="450">
        <v>1109</v>
      </c>
      <c r="L392" s="449">
        <v>5937</v>
      </c>
      <c r="M392" s="449"/>
      <c r="N392" s="449"/>
      <c r="O392" s="450">
        <v>5698</v>
      </c>
      <c r="P392" s="450"/>
      <c r="Q392" s="450"/>
      <c r="R392" s="449"/>
      <c r="S392" s="450"/>
      <c r="T392" s="447">
        <f t="shared" si="26"/>
        <v>0</v>
      </c>
      <c r="U392" s="448">
        <f t="shared" si="27"/>
        <v>0</v>
      </c>
      <c r="V392" s="449"/>
      <c r="W392" s="450"/>
      <c r="X392" s="449"/>
      <c r="Y392" s="450"/>
      <c r="Z392" s="449"/>
      <c r="AA392" s="449"/>
      <c r="AB392" s="449"/>
      <c r="AC392" s="450"/>
      <c r="AD392" s="450"/>
      <c r="AE392" s="450"/>
      <c r="AF392" s="449"/>
      <c r="AG392" s="450"/>
    </row>
    <row r="393" spans="1:33" s="27" customFormat="1" ht="15" customHeight="1">
      <c r="A393" s="126" t="s">
        <v>401</v>
      </c>
      <c r="B393" s="95" t="s">
        <v>427</v>
      </c>
      <c r="C393" s="104"/>
      <c r="D393" s="127">
        <v>217837</v>
      </c>
      <c r="E393" s="97">
        <v>10</v>
      </c>
      <c r="F393" s="447">
        <f t="shared" si="24"/>
        <v>24755</v>
      </c>
      <c r="G393" s="448">
        <f t="shared" si="25"/>
        <v>27291</v>
      </c>
      <c r="H393" s="449">
        <v>7449</v>
      </c>
      <c r="I393" s="450">
        <v>5890</v>
      </c>
      <c r="J393" s="449">
        <v>1755</v>
      </c>
      <c r="K393" s="450">
        <v>2607</v>
      </c>
      <c r="L393" s="449">
        <v>11422</v>
      </c>
      <c r="M393" s="449">
        <v>4129</v>
      </c>
      <c r="N393" s="449"/>
      <c r="O393" s="450">
        <v>16295</v>
      </c>
      <c r="P393" s="450">
        <v>2499</v>
      </c>
      <c r="Q393" s="450"/>
      <c r="R393" s="449"/>
      <c r="S393" s="450"/>
      <c r="T393" s="447">
        <f t="shared" si="26"/>
        <v>0</v>
      </c>
      <c r="U393" s="448">
        <f t="shared" si="27"/>
        <v>0</v>
      </c>
      <c r="V393" s="449"/>
      <c r="W393" s="450"/>
      <c r="X393" s="449"/>
      <c r="Y393" s="450"/>
      <c r="Z393" s="449"/>
      <c r="AA393" s="449"/>
      <c r="AB393" s="449"/>
      <c r="AC393" s="450"/>
      <c r="AD393" s="450"/>
      <c r="AE393" s="450"/>
      <c r="AF393" s="449"/>
      <c r="AG393" s="450"/>
    </row>
    <row r="394" spans="1:33" s="27" customFormat="1" ht="15" customHeight="1">
      <c r="A394" s="126" t="s">
        <v>401</v>
      </c>
      <c r="B394" s="95" t="s">
        <v>423</v>
      </c>
      <c r="C394" s="129"/>
      <c r="D394" s="127">
        <v>218487</v>
      </c>
      <c r="E394" s="97">
        <v>10</v>
      </c>
      <c r="F394" s="447">
        <f t="shared" si="24"/>
        <v>50204</v>
      </c>
      <c r="G394" s="448">
        <f t="shared" si="25"/>
        <v>50568</v>
      </c>
      <c r="H394" s="449">
        <v>28543</v>
      </c>
      <c r="I394" s="450">
        <v>25998</v>
      </c>
      <c r="J394" s="449">
        <v>8710</v>
      </c>
      <c r="K394" s="450">
        <v>9324</v>
      </c>
      <c r="L394" s="449">
        <v>12951</v>
      </c>
      <c r="M394" s="449"/>
      <c r="N394" s="449"/>
      <c r="O394" s="450">
        <v>15246</v>
      </c>
      <c r="P394" s="450"/>
      <c r="Q394" s="450"/>
      <c r="R394" s="449"/>
      <c r="S394" s="450"/>
      <c r="T394" s="447">
        <f t="shared" si="26"/>
        <v>0</v>
      </c>
      <c r="U394" s="448">
        <f t="shared" si="27"/>
        <v>0</v>
      </c>
      <c r="V394" s="449"/>
      <c r="W394" s="450"/>
      <c r="X394" s="449"/>
      <c r="Y394" s="450"/>
      <c r="Z394" s="449"/>
      <c r="AA394" s="449"/>
      <c r="AB394" s="449"/>
      <c r="AC394" s="450"/>
      <c r="AD394" s="450"/>
      <c r="AE394" s="450"/>
      <c r="AF394" s="449"/>
      <c r="AG394" s="450"/>
    </row>
    <row r="395" spans="1:33" s="27" customFormat="1" ht="12.75" customHeight="1">
      <c r="A395" s="126" t="s">
        <v>401</v>
      </c>
      <c r="B395" s="95" t="s">
        <v>428</v>
      </c>
      <c r="C395" s="104"/>
      <c r="D395" s="127">
        <v>217712</v>
      </c>
      <c r="E395" s="97">
        <v>10</v>
      </c>
      <c r="F395" s="447">
        <f t="shared" si="24"/>
        <v>45401</v>
      </c>
      <c r="G395" s="448">
        <f t="shared" si="25"/>
        <v>44205</v>
      </c>
      <c r="H395" s="449">
        <v>27231</v>
      </c>
      <c r="I395" s="450">
        <v>26077</v>
      </c>
      <c r="J395" s="449">
        <v>1729</v>
      </c>
      <c r="K395" s="450">
        <v>1544</v>
      </c>
      <c r="L395" s="449">
        <v>16441</v>
      </c>
      <c r="M395" s="449"/>
      <c r="N395" s="449"/>
      <c r="O395" s="450">
        <v>16584</v>
      </c>
      <c r="P395" s="450"/>
      <c r="Q395" s="450"/>
      <c r="R395" s="449"/>
      <c r="S395" s="450"/>
      <c r="T395" s="447">
        <f t="shared" si="26"/>
        <v>0</v>
      </c>
      <c r="U395" s="448">
        <f t="shared" si="27"/>
        <v>0</v>
      </c>
      <c r="V395" s="449"/>
      <c r="W395" s="450"/>
      <c r="X395" s="449"/>
      <c r="Y395" s="450"/>
      <c r="Z395" s="449"/>
      <c r="AA395" s="449"/>
      <c r="AB395" s="449"/>
      <c r="AC395" s="450"/>
      <c r="AD395" s="450"/>
      <c r="AE395" s="450"/>
      <c r="AF395" s="449"/>
      <c r="AG395" s="450"/>
    </row>
    <row r="396" spans="1:33" s="27" customFormat="1" ht="12.75" customHeight="1">
      <c r="A396" s="126" t="s">
        <v>401</v>
      </c>
      <c r="B396" s="95" t="s">
        <v>429</v>
      </c>
      <c r="C396" s="104"/>
      <c r="D396" s="127">
        <v>218672</v>
      </c>
      <c r="E396" s="97">
        <v>10</v>
      </c>
      <c r="F396" s="447">
        <f t="shared" si="24"/>
        <v>33366</v>
      </c>
      <c r="G396" s="448">
        <f t="shared" si="25"/>
        <v>33443</v>
      </c>
      <c r="H396" s="449">
        <v>25144</v>
      </c>
      <c r="I396" s="450">
        <v>25072</v>
      </c>
      <c r="J396" s="449">
        <v>6500</v>
      </c>
      <c r="K396" s="450">
        <v>791</v>
      </c>
      <c r="L396" s="449">
        <v>1722</v>
      </c>
      <c r="M396" s="449"/>
      <c r="N396" s="449"/>
      <c r="O396" s="450">
        <v>2606</v>
      </c>
      <c r="P396" s="450"/>
      <c r="Q396" s="450">
        <v>4974</v>
      </c>
      <c r="R396" s="449"/>
      <c r="S396" s="450"/>
      <c r="T396" s="447">
        <f t="shared" si="26"/>
        <v>0</v>
      </c>
      <c r="U396" s="448">
        <f t="shared" si="27"/>
        <v>0</v>
      </c>
      <c r="V396" s="449"/>
      <c r="W396" s="450"/>
      <c r="X396" s="449"/>
      <c r="Y396" s="450"/>
      <c r="Z396" s="449"/>
      <c r="AA396" s="449"/>
      <c r="AB396" s="449"/>
      <c r="AC396" s="450"/>
      <c r="AD396" s="450"/>
      <c r="AE396" s="450"/>
      <c r="AF396" s="449"/>
      <c r="AG396" s="450"/>
    </row>
    <row r="397" spans="1:33" s="27" customFormat="1" ht="12.75" customHeight="1">
      <c r="A397" s="126" t="s">
        <v>401</v>
      </c>
      <c r="B397" s="95" t="s">
        <v>430</v>
      </c>
      <c r="C397" s="104"/>
      <c r="D397" s="127">
        <v>218681</v>
      </c>
      <c r="E397" s="97">
        <v>10</v>
      </c>
      <c r="F397" s="447">
        <f t="shared" si="24"/>
        <v>20505</v>
      </c>
      <c r="G397" s="448">
        <f t="shared" si="25"/>
        <v>19210</v>
      </c>
      <c r="H397" s="449">
        <v>14468</v>
      </c>
      <c r="I397" s="450">
        <v>13797</v>
      </c>
      <c r="J397" s="449">
        <v>3034</v>
      </c>
      <c r="K397" s="450">
        <v>2793</v>
      </c>
      <c r="L397" s="449">
        <v>3003</v>
      </c>
      <c r="M397" s="449"/>
      <c r="N397" s="449"/>
      <c r="O397" s="450">
        <v>2620</v>
      </c>
      <c r="P397" s="450"/>
      <c r="Q397" s="450"/>
      <c r="R397" s="449"/>
      <c r="S397" s="450"/>
      <c r="T397" s="447">
        <f t="shared" si="26"/>
        <v>0</v>
      </c>
      <c r="U397" s="448">
        <f t="shared" si="27"/>
        <v>3</v>
      </c>
      <c r="V397" s="449"/>
      <c r="W397" s="450"/>
      <c r="X397" s="449"/>
      <c r="Y397" s="450"/>
      <c r="Z397" s="449"/>
      <c r="AA397" s="449"/>
      <c r="AB397" s="449"/>
      <c r="AC397" s="450">
        <v>3</v>
      </c>
      <c r="AD397" s="450"/>
      <c r="AE397" s="450"/>
      <c r="AF397" s="449"/>
      <c r="AG397" s="450"/>
    </row>
    <row r="398" spans="1:33" ht="14.5">
      <c r="A398" s="126" t="s">
        <v>401</v>
      </c>
      <c r="B398" s="95" t="s">
        <v>431</v>
      </c>
      <c r="C398" s="128"/>
      <c r="D398" s="127">
        <v>218690</v>
      </c>
      <c r="E398" s="97">
        <v>10</v>
      </c>
      <c r="F398" s="447">
        <f t="shared" si="24"/>
        <v>23229</v>
      </c>
      <c r="G398" s="448">
        <f t="shared" si="25"/>
        <v>24544</v>
      </c>
      <c r="H398" s="449">
        <v>17239</v>
      </c>
      <c r="I398" s="450">
        <v>15829</v>
      </c>
      <c r="J398" s="449">
        <v>2615</v>
      </c>
      <c r="K398" s="450">
        <v>4613</v>
      </c>
      <c r="L398" s="449">
        <v>3375</v>
      </c>
      <c r="M398" s="449"/>
      <c r="N398" s="449"/>
      <c r="O398" s="450">
        <v>4102</v>
      </c>
      <c r="P398" s="450"/>
      <c r="Q398" s="450"/>
      <c r="R398" s="449"/>
      <c r="S398" s="450"/>
      <c r="T398" s="447">
        <f t="shared" si="26"/>
        <v>0</v>
      </c>
      <c r="U398" s="448">
        <f t="shared" si="27"/>
        <v>0</v>
      </c>
      <c r="V398" s="449"/>
      <c r="W398" s="450"/>
      <c r="X398" s="449"/>
      <c r="Y398" s="450"/>
      <c r="Z398" s="449"/>
      <c r="AA398" s="449"/>
      <c r="AB398" s="449"/>
      <c r="AC398" s="450"/>
      <c r="AD398" s="450"/>
      <c r="AE398" s="450"/>
      <c r="AF398" s="449"/>
      <c r="AG398" s="450"/>
    </row>
    <row r="399" spans="1:33" s="27" customFormat="1" ht="12.75" customHeight="1">
      <c r="A399" s="126" t="s">
        <v>401</v>
      </c>
      <c r="B399" s="95" t="s">
        <v>432</v>
      </c>
      <c r="C399" s="128"/>
      <c r="D399" s="127">
        <v>218706</v>
      </c>
      <c r="E399" s="97">
        <v>10</v>
      </c>
      <c r="F399" s="447">
        <f t="shared" si="24"/>
        <v>18318</v>
      </c>
      <c r="G399" s="448">
        <f t="shared" si="25"/>
        <v>20044</v>
      </c>
      <c r="H399" s="449">
        <v>9669</v>
      </c>
      <c r="I399" s="450">
        <v>9363</v>
      </c>
      <c r="J399" s="449">
        <v>8607</v>
      </c>
      <c r="K399" s="450">
        <v>7213</v>
      </c>
      <c r="L399" s="449">
        <v>42</v>
      </c>
      <c r="M399" s="449"/>
      <c r="N399" s="449"/>
      <c r="O399" s="450">
        <v>3468</v>
      </c>
      <c r="P399" s="450"/>
      <c r="Q399" s="450"/>
      <c r="R399" s="449"/>
      <c r="S399" s="450"/>
      <c r="T399" s="447">
        <f t="shared" si="26"/>
        <v>0</v>
      </c>
      <c r="U399" s="448">
        <f t="shared" si="27"/>
        <v>0</v>
      </c>
      <c r="V399" s="449"/>
      <c r="W399" s="450"/>
      <c r="X399" s="449"/>
      <c r="Y399" s="450"/>
      <c r="Z399" s="449"/>
      <c r="AA399" s="449"/>
      <c r="AB399" s="449"/>
      <c r="AC399" s="450"/>
      <c r="AD399" s="450"/>
      <c r="AE399" s="450"/>
      <c r="AF399" s="449"/>
      <c r="AG399" s="450"/>
    </row>
    <row r="400" spans="1:33" s="27" customFormat="1" ht="12.75" customHeight="1">
      <c r="A400" s="126" t="s">
        <v>401</v>
      </c>
      <c r="B400" s="473" t="s">
        <v>810</v>
      </c>
      <c r="C400" s="128"/>
      <c r="D400" s="127">
        <v>218955</v>
      </c>
      <c r="E400" s="97">
        <v>10</v>
      </c>
      <c r="F400" s="447">
        <f t="shared" si="24"/>
        <v>14780</v>
      </c>
      <c r="G400" s="448">
        <f t="shared" si="25"/>
        <v>15847</v>
      </c>
      <c r="H400" s="449">
        <v>10786</v>
      </c>
      <c r="I400" s="450">
        <v>10182</v>
      </c>
      <c r="J400" s="449">
        <v>3112</v>
      </c>
      <c r="K400" s="450">
        <v>3651</v>
      </c>
      <c r="L400" s="449">
        <v>882</v>
      </c>
      <c r="M400" s="449"/>
      <c r="N400" s="449"/>
      <c r="O400" s="450">
        <v>2014</v>
      </c>
      <c r="P400" s="450"/>
      <c r="Q400" s="450"/>
      <c r="R400" s="449"/>
      <c r="S400" s="450"/>
      <c r="T400" s="447">
        <f t="shared" si="26"/>
        <v>0</v>
      </c>
      <c r="U400" s="448">
        <f t="shared" si="27"/>
        <v>0</v>
      </c>
      <c r="V400" s="449"/>
      <c r="W400" s="450"/>
      <c r="X400" s="449"/>
      <c r="Y400" s="450"/>
      <c r="Z400" s="449"/>
      <c r="AA400" s="449"/>
      <c r="AB400" s="449"/>
      <c r="AC400" s="450"/>
      <c r="AD400" s="450"/>
      <c r="AE400" s="450"/>
      <c r="AF400" s="449"/>
      <c r="AG400" s="450"/>
    </row>
    <row r="401" spans="1:33" s="27" customFormat="1" ht="12.75" customHeight="1">
      <c r="A401" s="3" t="s">
        <v>433</v>
      </c>
      <c r="B401" s="2" t="s">
        <v>434</v>
      </c>
      <c r="C401" s="1"/>
      <c r="D401" s="62">
        <v>220862</v>
      </c>
      <c r="E401" s="62">
        <v>1</v>
      </c>
      <c r="F401" s="447">
        <f t="shared" si="24"/>
        <v>405823</v>
      </c>
      <c r="G401" s="448">
        <f t="shared" si="25"/>
        <v>405032</v>
      </c>
      <c r="H401" s="449">
        <v>261130</v>
      </c>
      <c r="I401" s="450">
        <v>247000</v>
      </c>
      <c r="J401" s="449">
        <v>19140</v>
      </c>
      <c r="K401" s="450">
        <v>19611</v>
      </c>
      <c r="L401" s="449">
        <v>88562</v>
      </c>
      <c r="M401" s="449">
        <v>138</v>
      </c>
      <c r="N401" s="449">
        <v>35045</v>
      </c>
      <c r="O401" s="450">
        <v>100487</v>
      </c>
      <c r="P401" s="450">
        <v>102</v>
      </c>
      <c r="Q401" s="450">
        <v>35033</v>
      </c>
      <c r="R401" s="449">
        <v>1808</v>
      </c>
      <c r="S401" s="450">
        <v>2799</v>
      </c>
      <c r="T401" s="447">
        <f t="shared" si="26"/>
        <v>61806</v>
      </c>
      <c r="U401" s="448">
        <f t="shared" si="27"/>
        <v>63984</v>
      </c>
      <c r="V401" s="449">
        <v>34604</v>
      </c>
      <c r="W401" s="450">
        <v>34570</v>
      </c>
      <c r="X401" s="449">
        <v>114</v>
      </c>
      <c r="Y401" s="450">
        <v>87</v>
      </c>
      <c r="Z401" s="449">
        <v>20377</v>
      </c>
      <c r="AA401" s="449">
        <v>165</v>
      </c>
      <c r="AB401" s="449">
        <v>3385</v>
      </c>
      <c r="AC401" s="450">
        <v>22996</v>
      </c>
      <c r="AD401" s="450">
        <v>255</v>
      </c>
      <c r="AE401" s="450">
        <v>2975</v>
      </c>
      <c r="AF401" s="449">
        <v>3161</v>
      </c>
      <c r="AG401" s="450">
        <v>3101</v>
      </c>
    </row>
    <row r="402" spans="1:33">
      <c r="A402" s="63" t="s">
        <v>433</v>
      </c>
      <c r="B402" s="2" t="s">
        <v>435</v>
      </c>
      <c r="C402" s="64"/>
      <c r="D402" s="62">
        <v>221759</v>
      </c>
      <c r="E402" s="62">
        <v>1</v>
      </c>
      <c r="F402" s="447">
        <f t="shared" ref="F402:F449" si="28">SUM(H402,J402,L402,M402,N402,R402)</f>
        <v>629213</v>
      </c>
      <c r="G402" s="448">
        <f t="shared" ref="G402:G449" si="29">SUM(I402,K402,O402,P402,Q402,S402)</f>
        <v>644562</v>
      </c>
      <c r="H402" s="449">
        <v>586800</v>
      </c>
      <c r="I402" s="450">
        <v>602666</v>
      </c>
      <c r="J402" s="449">
        <v>0</v>
      </c>
      <c r="K402" s="450">
        <v>0</v>
      </c>
      <c r="L402" s="449">
        <v>37535</v>
      </c>
      <c r="M402" s="449">
        <v>0</v>
      </c>
      <c r="N402" s="449">
        <v>1398</v>
      </c>
      <c r="O402" s="450">
        <v>36239</v>
      </c>
      <c r="P402" s="450">
        <v>0</v>
      </c>
      <c r="Q402" s="450">
        <v>1620</v>
      </c>
      <c r="R402" s="449">
        <v>3480</v>
      </c>
      <c r="S402" s="450">
        <v>4037</v>
      </c>
      <c r="T402" s="447">
        <f t="shared" ref="T402:T449" si="30">SUM(V402,X402,Z402,AA402,AB402,AF402)</f>
        <v>89466</v>
      </c>
      <c r="U402" s="448">
        <f t="shared" ref="U402:U449" si="31">SUM(W402,Y402,AC402,AD402,AE402,AG402)</f>
        <v>91235</v>
      </c>
      <c r="V402" s="449">
        <v>67421</v>
      </c>
      <c r="W402" s="450">
        <v>66616</v>
      </c>
      <c r="X402" s="449">
        <v>2210</v>
      </c>
      <c r="Y402" s="450">
        <v>2127</v>
      </c>
      <c r="Z402" s="449">
        <v>16620</v>
      </c>
      <c r="AA402" s="449">
        <v>0</v>
      </c>
      <c r="AB402" s="449">
        <v>1059</v>
      </c>
      <c r="AC402" s="450">
        <v>19236</v>
      </c>
      <c r="AD402" s="450">
        <v>12</v>
      </c>
      <c r="AE402" s="450">
        <v>969</v>
      </c>
      <c r="AF402" s="449">
        <v>2156</v>
      </c>
      <c r="AG402" s="450">
        <v>2275</v>
      </c>
    </row>
    <row r="403" spans="1:33">
      <c r="A403" s="63" t="s">
        <v>433</v>
      </c>
      <c r="B403" s="65" t="s">
        <v>436</v>
      </c>
      <c r="C403" s="66"/>
      <c r="D403" s="62">
        <v>220075</v>
      </c>
      <c r="E403" s="62">
        <v>2</v>
      </c>
      <c r="F403" s="447">
        <f t="shared" si="28"/>
        <v>304480</v>
      </c>
      <c r="G403" s="448">
        <f t="shared" si="29"/>
        <v>302716</v>
      </c>
      <c r="H403" s="449">
        <v>192301</v>
      </c>
      <c r="I403" s="450">
        <v>182037</v>
      </c>
      <c r="J403" s="449">
        <v>11280</v>
      </c>
      <c r="K403" s="450">
        <v>12122</v>
      </c>
      <c r="L403" s="449">
        <v>75284</v>
      </c>
      <c r="M403" s="449">
        <v>7020</v>
      </c>
      <c r="N403" s="449">
        <v>16131</v>
      </c>
      <c r="O403" s="450">
        <v>82575</v>
      </c>
      <c r="P403" s="450">
        <v>9018</v>
      </c>
      <c r="Q403" s="450">
        <v>14559</v>
      </c>
      <c r="R403" s="449">
        <v>2464</v>
      </c>
      <c r="S403" s="450">
        <v>2405</v>
      </c>
      <c r="T403" s="447">
        <f t="shared" si="30"/>
        <v>45590</v>
      </c>
      <c r="U403" s="448">
        <f t="shared" si="31"/>
        <v>45398</v>
      </c>
      <c r="V403" s="449">
        <v>18085</v>
      </c>
      <c r="W403" s="450">
        <v>17091</v>
      </c>
      <c r="X403" s="449">
        <v>1326</v>
      </c>
      <c r="Y403" s="450">
        <v>1150</v>
      </c>
      <c r="Z403" s="449">
        <v>22285</v>
      </c>
      <c r="AA403" s="449">
        <v>240</v>
      </c>
      <c r="AB403" s="449">
        <v>1298</v>
      </c>
      <c r="AC403" s="450">
        <v>23238</v>
      </c>
      <c r="AD403" s="450">
        <v>330</v>
      </c>
      <c r="AE403" s="450">
        <v>1376</v>
      </c>
      <c r="AF403" s="449">
        <v>2356</v>
      </c>
      <c r="AG403" s="450">
        <v>2213</v>
      </c>
    </row>
    <row r="404" spans="1:33" ht="14.5">
      <c r="A404" s="3" t="s">
        <v>433</v>
      </c>
      <c r="B404" s="65" t="s">
        <v>439</v>
      </c>
      <c r="C404" s="105"/>
      <c r="D404" s="62">
        <v>220978</v>
      </c>
      <c r="E404" s="62">
        <v>2</v>
      </c>
      <c r="F404" s="447">
        <f t="shared" si="28"/>
        <v>499469</v>
      </c>
      <c r="G404" s="448">
        <f t="shared" si="29"/>
        <v>495503</v>
      </c>
      <c r="H404" s="449">
        <v>392181</v>
      </c>
      <c r="I404" s="450">
        <v>380999</v>
      </c>
      <c r="J404" s="449">
        <v>5932</v>
      </c>
      <c r="K404" s="450">
        <v>7777</v>
      </c>
      <c r="L404" s="449">
        <v>77579</v>
      </c>
      <c r="M404" s="449">
        <v>103</v>
      </c>
      <c r="N404" s="449">
        <v>19652</v>
      </c>
      <c r="O404" s="450">
        <v>82270</v>
      </c>
      <c r="P404" s="450">
        <v>23</v>
      </c>
      <c r="Q404" s="450">
        <v>20484</v>
      </c>
      <c r="R404" s="449">
        <v>4022</v>
      </c>
      <c r="S404" s="450">
        <v>3950</v>
      </c>
      <c r="T404" s="447">
        <f t="shared" si="30"/>
        <v>35554</v>
      </c>
      <c r="U404" s="448">
        <f t="shared" si="31"/>
        <v>34306</v>
      </c>
      <c r="V404" s="449">
        <v>19902</v>
      </c>
      <c r="W404" s="450">
        <v>18213</v>
      </c>
      <c r="X404" s="449">
        <v>2128</v>
      </c>
      <c r="Y404" s="450">
        <v>1981</v>
      </c>
      <c r="Z404" s="449">
        <v>11228</v>
      </c>
      <c r="AA404" s="449">
        <v>0</v>
      </c>
      <c r="AB404" s="449">
        <v>657</v>
      </c>
      <c r="AC404" s="450">
        <v>11493</v>
      </c>
      <c r="AD404" s="450">
        <v>0</v>
      </c>
      <c r="AE404" s="450">
        <v>619</v>
      </c>
      <c r="AF404" s="449">
        <v>1639</v>
      </c>
      <c r="AG404" s="450">
        <v>2000</v>
      </c>
    </row>
    <row r="405" spans="1:33" s="27" customFormat="1" ht="13.5" customHeight="1">
      <c r="A405" s="63" t="s">
        <v>433</v>
      </c>
      <c r="B405" s="2" t="s">
        <v>437</v>
      </c>
      <c r="C405" s="1"/>
      <c r="D405" s="62">
        <v>221838</v>
      </c>
      <c r="E405" s="62">
        <v>2</v>
      </c>
      <c r="F405" s="447">
        <f t="shared" si="28"/>
        <v>167380</v>
      </c>
      <c r="G405" s="448">
        <f t="shared" si="29"/>
        <v>156680</v>
      </c>
      <c r="H405" s="449">
        <v>129995</v>
      </c>
      <c r="I405" s="450">
        <v>118551</v>
      </c>
      <c r="J405" s="449">
        <v>18872</v>
      </c>
      <c r="K405" s="450">
        <v>18346</v>
      </c>
      <c r="L405" s="449">
        <v>15669</v>
      </c>
      <c r="M405" s="449">
        <v>0</v>
      </c>
      <c r="N405" s="449">
        <v>2397</v>
      </c>
      <c r="O405" s="450">
        <v>17164</v>
      </c>
      <c r="P405" s="450">
        <v>0</v>
      </c>
      <c r="Q405" s="450">
        <v>1935</v>
      </c>
      <c r="R405" s="449">
        <v>447</v>
      </c>
      <c r="S405" s="450">
        <v>684</v>
      </c>
      <c r="T405" s="447">
        <f t="shared" si="30"/>
        <v>22810</v>
      </c>
      <c r="U405" s="448">
        <f t="shared" si="31"/>
        <v>24128</v>
      </c>
      <c r="V405" s="449">
        <v>11288</v>
      </c>
      <c r="W405" s="450">
        <v>10742</v>
      </c>
      <c r="X405" s="449">
        <v>5681</v>
      </c>
      <c r="Y405" s="450">
        <v>5591</v>
      </c>
      <c r="Z405" s="449">
        <v>4413</v>
      </c>
      <c r="AA405" s="449">
        <v>0</v>
      </c>
      <c r="AB405" s="449">
        <v>892</v>
      </c>
      <c r="AC405" s="450">
        <v>6492</v>
      </c>
      <c r="AD405" s="450">
        <v>0</v>
      </c>
      <c r="AE405" s="450">
        <v>944</v>
      </c>
      <c r="AF405" s="449">
        <v>536</v>
      </c>
      <c r="AG405" s="450">
        <v>359</v>
      </c>
    </row>
    <row r="406" spans="1:33" s="27" customFormat="1" ht="12.75" customHeight="1">
      <c r="A406" s="63" t="s">
        <v>433</v>
      </c>
      <c r="B406" s="2" t="s">
        <v>438</v>
      </c>
      <c r="C406" s="64"/>
      <c r="D406" s="62">
        <v>219602</v>
      </c>
      <c r="E406" s="62">
        <v>3</v>
      </c>
      <c r="F406" s="447">
        <f t="shared" si="28"/>
        <v>250666</v>
      </c>
      <c r="G406" s="448">
        <f t="shared" si="29"/>
        <v>247322</v>
      </c>
      <c r="H406" s="449">
        <v>155276</v>
      </c>
      <c r="I406" s="450">
        <v>146208</v>
      </c>
      <c r="J406" s="449">
        <v>11898</v>
      </c>
      <c r="K406" s="450">
        <v>12995</v>
      </c>
      <c r="L406" s="449">
        <v>68622</v>
      </c>
      <c r="M406" s="449">
        <v>0</v>
      </c>
      <c r="N406" s="449">
        <v>13101</v>
      </c>
      <c r="O406" s="450">
        <v>72863</v>
      </c>
      <c r="P406" s="450">
        <v>0</v>
      </c>
      <c r="Q406" s="450">
        <v>14026</v>
      </c>
      <c r="R406" s="449">
        <v>1769</v>
      </c>
      <c r="S406" s="450">
        <v>1230</v>
      </c>
      <c r="T406" s="447">
        <f t="shared" si="30"/>
        <v>17800</v>
      </c>
      <c r="U406" s="448">
        <f t="shared" si="31"/>
        <v>19334</v>
      </c>
      <c r="V406" s="449">
        <v>4925</v>
      </c>
      <c r="W406" s="450">
        <v>4376</v>
      </c>
      <c r="X406" s="449">
        <v>42</v>
      </c>
      <c r="Y406" s="450">
        <v>6</v>
      </c>
      <c r="Z406" s="449">
        <v>11911</v>
      </c>
      <c r="AA406" s="449">
        <v>0</v>
      </c>
      <c r="AB406" s="449">
        <v>533</v>
      </c>
      <c r="AC406" s="450">
        <v>13289</v>
      </c>
      <c r="AD406" s="450">
        <v>0</v>
      </c>
      <c r="AE406" s="450">
        <v>1309</v>
      </c>
      <c r="AF406" s="449">
        <v>389</v>
      </c>
      <c r="AG406" s="450">
        <v>354</v>
      </c>
    </row>
    <row r="407" spans="1:33" s="27" customFormat="1" ht="12.75" customHeight="1">
      <c r="A407" s="3" t="s">
        <v>433</v>
      </c>
      <c r="B407" s="2" t="s">
        <v>440</v>
      </c>
      <c r="C407" s="131"/>
      <c r="D407" s="62">
        <v>221847</v>
      </c>
      <c r="E407" s="62">
        <v>3</v>
      </c>
      <c r="F407" s="447">
        <f t="shared" si="28"/>
        <v>247503</v>
      </c>
      <c r="G407" s="448">
        <f t="shared" si="29"/>
        <v>242827</v>
      </c>
      <c r="H407" s="449">
        <v>149041</v>
      </c>
      <c r="I407" s="450">
        <v>146426</v>
      </c>
      <c r="J407" s="449">
        <v>6072</v>
      </c>
      <c r="K407" s="450">
        <v>5302</v>
      </c>
      <c r="L407" s="449">
        <v>25178</v>
      </c>
      <c r="M407" s="449">
        <v>0</v>
      </c>
      <c r="N407" s="449">
        <v>63946</v>
      </c>
      <c r="O407" s="450">
        <v>26667</v>
      </c>
      <c r="P407" s="450">
        <v>0</v>
      </c>
      <c r="Q407" s="450">
        <v>61836</v>
      </c>
      <c r="R407" s="449">
        <v>3266</v>
      </c>
      <c r="S407" s="450">
        <v>2596</v>
      </c>
      <c r="T407" s="447">
        <f t="shared" si="30"/>
        <v>16119</v>
      </c>
      <c r="U407" s="448">
        <f t="shared" si="31"/>
        <v>16610</v>
      </c>
      <c r="V407" s="449">
        <v>3510</v>
      </c>
      <c r="W407" s="450">
        <v>3383</v>
      </c>
      <c r="X407" s="449">
        <v>111</v>
      </c>
      <c r="Y407" s="450">
        <v>141</v>
      </c>
      <c r="Z407" s="449">
        <v>9617</v>
      </c>
      <c r="AA407" s="449">
        <v>0</v>
      </c>
      <c r="AB407" s="449">
        <v>1956</v>
      </c>
      <c r="AC407" s="450">
        <v>10377</v>
      </c>
      <c r="AD407" s="450">
        <v>0</v>
      </c>
      <c r="AE407" s="450">
        <v>1775</v>
      </c>
      <c r="AF407" s="449">
        <v>925</v>
      </c>
      <c r="AG407" s="450">
        <v>934</v>
      </c>
    </row>
    <row r="408" spans="1:33" s="27" customFormat="1" ht="12.75" customHeight="1">
      <c r="A408" s="63" t="s">
        <v>433</v>
      </c>
      <c r="B408" s="2" t="s">
        <v>441</v>
      </c>
      <c r="C408" s="131"/>
      <c r="D408" s="62">
        <v>221740</v>
      </c>
      <c r="E408" s="62">
        <v>3</v>
      </c>
      <c r="F408" s="447">
        <f t="shared" si="28"/>
        <v>281364</v>
      </c>
      <c r="G408" s="448">
        <f t="shared" si="29"/>
        <v>282887</v>
      </c>
      <c r="H408" s="449">
        <v>226507</v>
      </c>
      <c r="I408" s="450">
        <v>221900</v>
      </c>
      <c r="J408" s="449">
        <v>566</v>
      </c>
      <c r="K408" s="450">
        <v>447</v>
      </c>
      <c r="L408" s="449">
        <v>53123</v>
      </c>
      <c r="M408" s="449">
        <v>0</v>
      </c>
      <c r="N408" s="449">
        <v>30</v>
      </c>
      <c r="O408" s="450">
        <v>59314</v>
      </c>
      <c r="P408" s="450">
        <v>0</v>
      </c>
      <c r="Q408" s="450">
        <v>6</v>
      </c>
      <c r="R408" s="449">
        <v>1138</v>
      </c>
      <c r="S408" s="450">
        <v>1220</v>
      </c>
      <c r="T408" s="447">
        <f t="shared" si="30"/>
        <v>27042</v>
      </c>
      <c r="U408" s="448">
        <f t="shared" si="31"/>
        <v>26353</v>
      </c>
      <c r="V408" s="449">
        <v>16993</v>
      </c>
      <c r="W408" s="450">
        <v>16261</v>
      </c>
      <c r="X408" s="449">
        <v>0</v>
      </c>
      <c r="Y408" s="450">
        <v>0</v>
      </c>
      <c r="Z408" s="449">
        <v>9669</v>
      </c>
      <c r="AA408" s="449">
        <v>0</v>
      </c>
      <c r="AB408" s="449">
        <v>0</v>
      </c>
      <c r="AC408" s="450">
        <v>9812</v>
      </c>
      <c r="AD408" s="450">
        <v>0</v>
      </c>
      <c r="AE408" s="450">
        <v>0</v>
      </c>
      <c r="AF408" s="449">
        <v>380</v>
      </c>
      <c r="AG408" s="450">
        <v>280</v>
      </c>
    </row>
    <row r="409" spans="1:33" s="27" customFormat="1" ht="12.75" customHeight="1">
      <c r="A409" s="63" t="s">
        <v>433</v>
      </c>
      <c r="B409" s="65" t="s">
        <v>442</v>
      </c>
      <c r="C409" s="474" t="s">
        <v>783</v>
      </c>
      <c r="D409" s="62">
        <v>221768</v>
      </c>
      <c r="E409" s="62">
        <v>5</v>
      </c>
      <c r="F409" s="447">
        <f t="shared" si="28"/>
        <v>164329</v>
      </c>
      <c r="G409" s="448">
        <f t="shared" si="29"/>
        <v>161305</v>
      </c>
      <c r="H409" s="449">
        <v>121607</v>
      </c>
      <c r="I409" s="450">
        <v>118058</v>
      </c>
      <c r="J409" s="449">
        <v>12912</v>
      </c>
      <c r="K409" s="450">
        <v>14637</v>
      </c>
      <c r="L409" s="449">
        <v>25943</v>
      </c>
      <c r="M409" s="449">
        <v>3647</v>
      </c>
      <c r="N409" s="449">
        <v>53</v>
      </c>
      <c r="O409" s="450">
        <v>24076</v>
      </c>
      <c r="P409" s="450">
        <v>4269</v>
      </c>
      <c r="Q409" s="450">
        <v>21</v>
      </c>
      <c r="R409" s="449">
        <v>167</v>
      </c>
      <c r="S409" s="450">
        <v>244</v>
      </c>
      <c r="T409" s="447">
        <f t="shared" si="30"/>
        <v>5602</v>
      </c>
      <c r="U409" s="448">
        <f t="shared" si="31"/>
        <v>6765</v>
      </c>
      <c r="V409" s="449">
        <v>824</v>
      </c>
      <c r="W409" s="450">
        <v>651</v>
      </c>
      <c r="X409" s="449">
        <v>0</v>
      </c>
      <c r="Y409" s="450">
        <v>3</v>
      </c>
      <c r="Z409" s="449">
        <v>4775</v>
      </c>
      <c r="AA409" s="449">
        <v>0</v>
      </c>
      <c r="AB409" s="449">
        <v>3</v>
      </c>
      <c r="AC409" s="450">
        <v>6111</v>
      </c>
      <c r="AD409" s="450">
        <v>0</v>
      </c>
      <c r="AE409" s="450">
        <v>0</v>
      </c>
      <c r="AF409" s="449">
        <v>0</v>
      </c>
      <c r="AG409" s="450">
        <v>0</v>
      </c>
    </row>
    <row r="410" spans="1:33" s="27" customFormat="1" ht="15" customHeight="1">
      <c r="A410" s="3" t="s">
        <v>433</v>
      </c>
      <c r="B410" s="2" t="s">
        <v>443</v>
      </c>
      <c r="C410" s="131"/>
      <c r="D410" s="62">
        <v>219824</v>
      </c>
      <c r="E410" s="62">
        <v>8</v>
      </c>
      <c r="F410" s="447">
        <f t="shared" si="28"/>
        <v>166483</v>
      </c>
      <c r="G410" s="448">
        <f t="shared" si="29"/>
        <v>161827</v>
      </c>
      <c r="H410" s="449">
        <v>98552</v>
      </c>
      <c r="I410" s="450">
        <v>96596</v>
      </c>
      <c r="J410" s="449">
        <v>10905</v>
      </c>
      <c r="K410" s="450">
        <v>9715</v>
      </c>
      <c r="L410" s="449">
        <v>44075</v>
      </c>
      <c r="M410" s="449">
        <v>0</v>
      </c>
      <c r="N410" s="449">
        <v>12515</v>
      </c>
      <c r="O410" s="450">
        <v>43694</v>
      </c>
      <c r="P410" s="450">
        <v>0</v>
      </c>
      <c r="Q410" s="450">
        <v>11521</v>
      </c>
      <c r="R410" s="449">
        <v>436</v>
      </c>
      <c r="S410" s="450">
        <v>301</v>
      </c>
      <c r="T410" s="447">
        <f t="shared" si="30"/>
        <v>0</v>
      </c>
      <c r="U410" s="448">
        <f t="shared" si="31"/>
        <v>0</v>
      </c>
      <c r="V410" s="449"/>
      <c r="W410" s="450"/>
      <c r="X410" s="449"/>
      <c r="Y410" s="450"/>
      <c r="Z410" s="449"/>
      <c r="AA410" s="449"/>
      <c r="AB410" s="449"/>
      <c r="AC410" s="450"/>
      <c r="AD410" s="450"/>
      <c r="AE410" s="450"/>
      <c r="AF410" s="449"/>
      <c r="AG410" s="450"/>
    </row>
    <row r="411" spans="1:33" s="27" customFormat="1" ht="15" customHeight="1">
      <c r="A411" s="63" t="s">
        <v>433</v>
      </c>
      <c r="B411" s="2" t="s">
        <v>444</v>
      </c>
      <c r="C411" s="131"/>
      <c r="D411" s="62">
        <v>221184</v>
      </c>
      <c r="E411" s="62">
        <v>8</v>
      </c>
      <c r="F411" s="447">
        <f t="shared" si="28"/>
        <v>156830</v>
      </c>
      <c r="G411" s="448">
        <f t="shared" si="29"/>
        <v>156550</v>
      </c>
      <c r="H411" s="449">
        <v>56816</v>
      </c>
      <c r="I411" s="450">
        <v>53784</v>
      </c>
      <c r="J411" s="449">
        <v>60531</v>
      </c>
      <c r="K411" s="450">
        <v>61731</v>
      </c>
      <c r="L411" s="449">
        <v>35045</v>
      </c>
      <c r="M411" s="449">
        <v>0</v>
      </c>
      <c r="N411" s="449">
        <v>4244</v>
      </c>
      <c r="O411" s="450">
        <v>35867</v>
      </c>
      <c r="P411" s="450">
        <v>0</v>
      </c>
      <c r="Q411" s="450">
        <v>4986</v>
      </c>
      <c r="R411" s="449">
        <v>194</v>
      </c>
      <c r="S411" s="450">
        <v>182</v>
      </c>
      <c r="T411" s="447">
        <f t="shared" si="30"/>
        <v>0</v>
      </c>
      <c r="U411" s="448">
        <f t="shared" si="31"/>
        <v>0</v>
      </c>
      <c r="V411" s="449"/>
      <c r="W411" s="450"/>
      <c r="X411" s="449"/>
      <c r="Y411" s="450"/>
      <c r="Z411" s="449"/>
      <c r="AA411" s="449"/>
      <c r="AB411" s="449"/>
      <c r="AC411" s="450"/>
      <c r="AD411" s="450"/>
      <c r="AE411" s="450"/>
      <c r="AF411" s="449"/>
      <c r="AG411" s="450"/>
    </row>
    <row r="412" spans="1:33" s="27" customFormat="1" ht="15" customHeight="1">
      <c r="A412" s="63" t="s">
        <v>433</v>
      </c>
      <c r="B412" s="65" t="s">
        <v>445</v>
      </c>
      <c r="C412" s="131"/>
      <c r="D412" s="62">
        <v>221643</v>
      </c>
      <c r="E412" s="62">
        <v>8</v>
      </c>
      <c r="F412" s="447">
        <f t="shared" si="28"/>
        <v>220581</v>
      </c>
      <c r="G412" s="448">
        <f t="shared" si="29"/>
        <v>214124</v>
      </c>
      <c r="H412" s="449">
        <v>113793</v>
      </c>
      <c r="I412" s="450">
        <v>106006</v>
      </c>
      <c r="J412" s="449">
        <v>60060</v>
      </c>
      <c r="K412" s="450">
        <v>58734</v>
      </c>
      <c r="L412" s="449">
        <v>40285</v>
      </c>
      <c r="M412" s="449">
        <v>0</v>
      </c>
      <c r="N412" s="449">
        <v>6299</v>
      </c>
      <c r="O412" s="450">
        <v>42827</v>
      </c>
      <c r="P412" s="450">
        <v>135</v>
      </c>
      <c r="Q412" s="450">
        <v>6311</v>
      </c>
      <c r="R412" s="449">
        <v>144</v>
      </c>
      <c r="S412" s="450">
        <v>111</v>
      </c>
      <c r="T412" s="447">
        <f t="shared" si="30"/>
        <v>0</v>
      </c>
      <c r="U412" s="448">
        <f t="shared" si="31"/>
        <v>0</v>
      </c>
      <c r="V412" s="449"/>
      <c r="W412" s="450"/>
      <c r="X412" s="449"/>
      <c r="Y412" s="450"/>
      <c r="Z412" s="449"/>
      <c r="AA412" s="449"/>
      <c r="AB412" s="449"/>
      <c r="AC412" s="450"/>
      <c r="AD412" s="450"/>
      <c r="AE412" s="450"/>
      <c r="AF412" s="449"/>
      <c r="AG412" s="450"/>
    </row>
    <row r="413" spans="1:33" s="27" customFormat="1" ht="15" customHeight="1">
      <c r="A413" s="3" t="s">
        <v>433</v>
      </c>
      <c r="B413" s="2" t="s">
        <v>446</v>
      </c>
      <c r="C413" s="131"/>
      <c r="D413" s="62">
        <v>221485</v>
      </c>
      <c r="E413" s="62">
        <v>8</v>
      </c>
      <c r="F413" s="447">
        <f t="shared" si="28"/>
        <v>161123</v>
      </c>
      <c r="G413" s="448">
        <f t="shared" si="29"/>
        <v>163644</v>
      </c>
      <c r="H413" s="449">
        <v>0</v>
      </c>
      <c r="I413" s="450">
        <v>0</v>
      </c>
      <c r="J413" s="449">
        <v>115976</v>
      </c>
      <c r="K413" s="450">
        <v>115219</v>
      </c>
      <c r="L413" s="449">
        <v>33705</v>
      </c>
      <c r="M413" s="449">
        <v>0</v>
      </c>
      <c r="N413" s="449">
        <v>11433</v>
      </c>
      <c r="O413" s="450">
        <v>38144</v>
      </c>
      <c r="P413" s="450">
        <v>0</v>
      </c>
      <c r="Q413" s="450">
        <v>10249</v>
      </c>
      <c r="R413" s="449">
        <v>9</v>
      </c>
      <c r="S413" s="450">
        <v>32</v>
      </c>
      <c r="T413" s="447">
        <f t="shared" si="30"/>
        <v>0</v>
      </c>
      <c r="U413" s="448">
        <f t="shared" si="31"/>
        <v>0</v>
      </c>
      <c r="V413" s="449"/>
      <c r="W413" s="450"/>
      <c r="X413" s="449"/>
      <c r="Y413" s="450"/>
      <c r="Z413" s="449"/>
      <c r="AA413" s="449"/>
      <c r="AB413" s="449"/>
      <c r="AC413" s="450"/>
      <c r="AD413" s="450"/>
      <c r="AE413" s="450"/>
      <c r="AF413" s="449"/>
      <c r="AG413" s="450"/>
    </row>
    <row r="414" spans="1:33" s="27" customFormat="1" ht="15" customHeight="1">
      <c r="A414" s="63" t="s">
        <v>433</v>
      </c>
      <c r="B414" s="2" t="s">
        <v>447</v>
      </c>
      <c r="C414" s="131"/>
      <c r="D414" s="62">
        <v>222053</v>
      </c>
      <c r="E414" s="62">
        <v>8</v>
      </c>
      <c r="F414" s="447">
        <f t="shared" si="28"/>
        <v>178496</v>
      </c>
      <c r="G414" s="448">
        <f t="shared" si="29"/>
        <v>181863</v>
      </c>
      <c r="H414" s="449">
        <v>90896</v>
      </c>
      <c r="I414" s="450">
        <v>87752</v>
      </c>
      <c r="J414" s="449">
        <v>27106</v>
      </c>
      <c r="K414" s="450">
        <v>26774</v>
      </c>
      <c r="L414" s="449">
        <v>51894</v>
      </c>
      <c r="M414" s="449">
        <v>18</v>
      </c>
      <c r="N414" s="449">
        <v>8126</v>
      </c>
      <c r="O414" s="450">
        <v>57843</v>
      </c>
      <c r="P414" s="450">
        <v>170</v>
      </c>
      <c r="Q414" s="450">
        <v>8735</v>
      </c>
      <c r="R414" s="449">
        <v>456</v>
      </c>
      <c r="S414" s="450">
        <v>589</v>
      </c>
      <c r="T414" s="447">
        <f t="shared" si="30"/>
        <v>0</v>
      </c>
      <c r="U414" s="448">
        <f t="shared" si="31"/>
        <v>0</v>
      </c>
      <c r="V414" s="449"/>
      <c r="W414" s="450"/>
      <c r="X414" s="449"/>
      <c r="Y414" s="450"/>
      <c r="Z414" s="449"/>
      <c r="AA414" s="449"/>
      <c r="AB414" s="449"/>
      <c r="AC414" s="450"/>
      <c r="AD414" s="450"/>
      <c r="AE414" s="450"/>
      <c r="AF414" s="449"/>
      <c r="AG414" s="450"/>
    </row>
    <row r="415" spans="1:33" s="27" customFormat="1" ht="15" customHeight="1">
      <c r="A415" s="63" t="s">
        <v>433</v>
      </c>
      <c r="B415" s="65" t="s">
        <v>448</v>
      </c>
      <c r="C415" s="131"/>
      <c r="D415" s="62">
        <v>219879</v>
      </c>
      <c r="E415" s="62">
        <v>9</v>
      </c>
      <c r="F415" s="447">
        <f t="shared" si="28"/>
        <v>62950</v>
      </c>
      <c r="G415" s="448">
        <f t="shared" si="29"/>
        <v>66625</v>
      </c>
      <c r="H415" s="449">
        <v>30964</v>
      </c>
      <c r="I415" s="450">
        <v>32224</v>
      </c>
      <c r="J415" s="449">
        <v>10258</v>
      </c>
      <c r="K415" s="450">
        <v>11068</v>
      </c>
      <c r="L415" s="449">
        <v>11612</v>
      </c>
      <c r="M415" s="449">
        <v>81</v>
      </c>
      <c r="N415" s="449">
        <v>9480</v>
      </c>
      <c r="O415" s="450">
        <v>12796</v>
      </c>
      <c r="P415" s="450">
        <v>78</v>
      </c>
      <c r="Q415" s="450">
        <v>9707</v>
      </c>
      <c r="R415" s="449">
        <v>555</v>
      </c>
      <c r="S415" s="450">
        <v>752</v>
      </c>
      <c r="T415" s="447">
        <f t="shared" si="30"/>
        <v>0</v>
      </c>
      <c r="U415" s="448">
        <f t="shared" si="31"/>
        <v>0</v>
      </c>
      <c r="V415" s="449"/>
      <c r="W415" s="450"/>
      <c r="X415" s="449"/>
      <c r="Y415" s="450"/>
      <c r="Z415" s="449"/>
      <c r="AA415" s="449"/>
      <c r="AB415" s="449"/>
      <c r="AC415" s="450"/>
      <c r="AD415" s="450"/>
      <c r="AE415" s="450"/>
      <c r="AF415" s="449"/>
      <c r="AG415" s="450"/>
    </row>
    <row r="416" spans="1:33" s="27" customFormat="1" ht="15" customHeight="1">
      <c r="A416" s="3" t="s">
        <v>433</v>
      </c>
      <c r="B416" s="2" t="s">
        <v>449</v>
      </c>
      <c r="C416" s="131"/>
      <c r="D416" s="62">
        <v>219888</v>
      </c>
      <c r="E416" s="62">
        <v>9</v>
      </c>
      <c r="F416" s="447">
        <f t="shared" si="28"/>
        <v>119843</v>
      </c>
      <c r="G416" s="448">
        <f t="shared" si="29"/>
        <v>124217</v>
      </c>
      <c r="H416" s="449">
        <v>35412</v>
      </c>
      <c r="I416" s="450">
        <v>35638</v>
      </c>
      <c r="J416" s="449">
        <v>47234</v>
      </c>
      <c r="K416" s="450">
        <v>48703</v>
      </c>
      <c r="L416" s="449">
        <v>27407</v>
      </c>
      <c r="M416" s="449">
        <v>1107</v>
      </c>
      <c r="N416" s="449">
        <v>8471</v>
      </c>
      <c r="O416" s="450">
        <v>29607</v>
      </c>
      <c r="P416" s="450">
        <v>516</v>
      </c>
      <c r="Q416" s="450">
        <v>9523</v>
      </c>
      <c r="R416" s="449">
        <v>212</v>
      </c>
      <c r="S416" s="450">
        <v>230</v>
      </c>
      <c r="T416" s="447">
        <f t="shared" si="30"/>
        <v>0</v>
      </c>
      <c r="U416" s="448">
        <f t="shared" si="31"/>
        <v>0</v>
      </c>
      <c r="V416" s="449"/>
      <c r="W416" s="450"/>
      <c r="X416" s="449"/>
      <c r="Y416" s="450"/>
      <c r="Z416" s="449"/>
      <c r="AA416" s="449"/>
      <c r="AB416" s="449"/>
      <c r="AC416" s="450"/>
      <c r="AD416" s="450"/>
      <c r="AE416" s="450"/>
      <c r="AF416" s="449"/>
      <c r="AG416" s="450"/>
    </row>
    <row r="417" spans="1:33" s="27" customFormat="1" ht="15" customHeight="1">
      <c r="A417" s="63" t="s">
        <v>433</v>
      </c>
      <c r="B417" s="65" t="s">
        <v>451</v>
      </c>
      <c r="C417" s="131"/>
      <c r="D417" s="62">
        <v>220400</v>
      </c>
      <c r="E417" s="62">
        <v>9</v>
      </c>
      <c r="F417" s="447">
        <f t="shared" si="28"/>
        <v>89978</v>
      </c>
      <c r="G417" s="448">
        <f t="shared" si="29"/>
        <v>90485</v>
      </c>
      <c r="H417" s="449">
        <v>43724</v>
      </c>
      <c r="I417" s="450">
        <v>43115</v>
      </c>
      <c r="J417" s="449">
        <v>12870</v>
      </c>
      <c r="K417" s="450">
        <v>11322</v>
      </c>
      <c r="L417" s="449">
        <v>21112</v>
      </c>
      <c r="M417" s="449">
        <v>3386</v>
      </c>
      <c r="N417" s="449">
        <v>8829</v>
      </c>
      <c r="O417" s="450">
        <v>23676</v>
      </c>
      <c r="P417" s="450">
        <v>3732</v>
      </c>
      <c r="Q417" s="450">
        <v>8606</v>
      </c>
      <c r="R417" s="449">
        <v>57</v>
      </c>
      <c r="S417" s="450">
        <v>34</v>
      </c>
      <c r="T417" s="447">
        <f t="shared" si="30"/>
        <v>0</v>
      </c>
      <c r="U417" s="448">
        <f t="shared" si="31"/>
        <v>0</v>
      </c>
      <c r="V417" s="449"/>
      <c r="W417" s="450"/>
      <c r="X417" s="449"/>
      <c r="Y417" s="450"/>
      <c r="Z417" s="449"/>
      <c r="AA417" s="449"/>
      <c r="AB417" s="449"/>
      <c r="AC417" s="450"/>
      <c r="AD417" s="450"/>
      <c r="AE417" s="450"/>
      <c r="AF417" s="449"/>
      <c r="AG417" s="450"/>
    </row>
    <row r="418" spans="1:33" s="27" customFormat="1" ht="15" customHeight="1">
      <c r="A418" s="63" t="s">
        <v>433</v>
      </c>
      <c r="B418" s="2" t="s">
        <v>452</v>
      </c>
      <c r="C418" s="131"/>
      <c r="D418" s="62">
        <v>221096</v>
      </c>
      <c r="E418" s="62">
        <v>9</v>
      </c>
      <c r="F418" s="447">
        <f t="shared" si="28"/>
        <v>130665</v>
      </c>
      <c r="G418" s="448">
        <f t="shared" si="29"/>
        <v>138618</v>
      </c>
      <c r="H418" s="449">
        <v>22707</v>
      </c>
      <c r="I418" s="450">
        <v>21203</v>
      </c>
      <c r="J418" s="449">
        <v>66099</v>
      </c>
      <c r="K418" s="450">
        <v>68173</v>
      </c>
      <c r="L418" s="449">
        <v>32415</v>
      </c>
      <c r="M418" s="449">
        <v>5607</v>
      </c>
      <c r="N418" s="449">
        <v>3589</v>
      </c>
      <c r="O418" s="450">
        <v>39276</v>
      </c>
      <c r="P418" s="450">
        <v>5837</v>
      </c>
      <c r="Q418" s="450">
        <v>3852</v>
      </c>
      <c r="R418" s="449">
        <v>248</v>
      </c>
      <c r="S418" s="450">
        <v>277</v>
      </c>
      <c r="T418" s="447">
        <f t="shared" si="30"/>
        <v>0</v>
      </c>
      <c r="U418" s="448">
        <f t="shared" si="31"/>
        <v>0</v>
      </c>
      <c r="V418" s="449"/>
      <c r="W418" s="450"/>
      <c r="X418" s="449"/>
      <c r="Y418" s="450"/>
      <c r="Z418" s="449"/>
      <c r="AA418" s="449"/>
      <c r="AB418" s="449"/>
      <c r="AC418" s="450"/>
      <c r="AD418" s="450"/>
      <c r="AE418" s="450"/>
      <c r="AF418" s="449"/>
      <c r="AG418" s="450"/>
    </row>
    <row r="419" spans="1:33" s="27" customFormat="1" ht="15" customHeight="1">
      <c r="A419" s="3" t="s">
        <v>433</v>
      </c>
      <c r="B419" s="2" t="s">
        <v>453</v>
      </c>
      <c r="C419" s="131"/>
      <c r="D419" s="62">
        <v>221908</v>
      </c>
      <c r="E419" s="62">
        <v>9</v>
      </c>
      <c r="F419" s="447">
        <f t="shared" si="28"/>
        <v>123242</v>
      </c>
      <c r="G419" s="448">
        <f t="shared" si="29"/>
        <v>123234</v>
      </c>
      <c r="H419" s="449">
        <v>64517</v>
      </c>
      <c r="I419" s="450">
        <v>60595</v>
      </c>
      <c r="J419" s="449">
        <v>35714</v>
      </c>
      <c r="K419" s="450">
        <v>34620</v>
      </c>
      <c r="L419" s="449">
        <v>17016</v>
      </c>
      <c r="M419" s="449">
        <v>2502</v>
      </c>
      <c r="N419" s="449">
        <v>3145</v>
      </c>
      <c r="O419" s="450">
        <v>21569</v>
      </c>
      <c r="P419" s="450">
        <v>1915</v>
      </c>
      <c r="Q419" s="450">
        <v>4239</v>
      </c>
      <c r="R419" s="449">
        <v>348</v>
      </c>
      <c r="S419" s="450">
        <v>296</v>
      </c>
      <c r="T419" s="447">
        <f t="shared" si="30"/>
        <v>0</v>
      </c>
      <c r="U419" s="448">
        <f t="shared" si="31"/>
        <v>0</v>
      </c>
      <c r="V419" s="449"/>
      <c r="W419" s="450"/>
      <c r="X419" s="449"/>
      <c r="Y419" s="450"/>
      <c r="Z419" s="449"/>
      <c r="AA419" s="449"/>
      <c r="AB419" s="449"/>
      <c r="AC419" s="450"/>
      <c r="AD419" s="450"/>
      <c r="AE419" s="450"/>
      <c r="AF419" s="449"/>
      <c r="AG419" s="450"/>
    </row>
    <row r="420" spans="1:33" s="27" customFormat="1" ht="15" customHeight="1">
      <c r="A420" s="63" t="s">
        <v>433</v>
      </c>
      <c r="B420" s="65" t="s">
        <v>454</v>
      </c>
      <c r="C420" s="131"/>
      <c r="D420" s="62">
        <v>221397</v>
      </c>
      <c r="E420" s="62">
        <v>9</v>
      </c>
      <c r="F420" s="447">
        <f t="shared" si="28"/>
        <v>108604</v>
      </c>
      <c r="G420" s="448">
        <f t="shared" si="29"/>
        <v>113977</v>
      </c>
      <c r="H420" s="449">
        <v>15281</v>
      </c>
      <c r="I420" s="450">
        <v>15436</v>
      </c>
      <c r="J420" s="449">
        <v>53090</v>
      </c>
      <c r="K420" s="450">
        <v>54495</v>
      </c>
      <c r="L420" s="449">
        <v>26732</v>
      </c>
      <c r="M420" s="449">
        <v>4383</v>
      </c>
      <c r="N420" s="449">
        <v>9101</v>
      </c>
      <c r="O420" s="450">
        <v>29158</v>
      </c>
      <c r="P420" s="450">
        <v>4251</v>
      </c>
      <c r="Q420" s="450">
        <v>10593</v>
      </c>
      <c r="R420" s="449">
        <v>17</v>
      </c>
      <c r="S420" s="450">
        <v>44</v>
      </c>
      <c r="T420" s="447">
        <f t="shared" si="30"/>
        <v>0</v>
      </c>
      <c r="U420" s="448">
        <f t="shared" si="31"/>
        <v>0</v>
      </c>
      <c r="V420" s="449"/>
      <c r="W420" s="450"/>
      <c r="X420" s="449"/>
      <c r="Y420" s="450"/>
      <c r="Z420" s="449"/>
      <c r="AA420" s="449"/>
      <c r="AB420" s="449"/>
      <c r="AC420" s="450"/>
      <c r="AD420" s="450"/>
      <c r="AE420" s="450"/>
      <c r="AF420" s="449"/>
      <c r="AG420" s="450"/>
    </row>
    <row r="421" spans="1:33" s="27" customFormat="1" ht="15" customHeight="1">
      <c r="A421" s="63" t="s">
        <v>433</v>
      </c>
      <c r="B421" s="2" t="s">
        <v>455</v>
      </c>
      <c r="C421" s="131"/>
      <c r="D421" s="62">
        <v>222062</v>
      </c>
      <c r="E421" s="62">
        <v>9</v>
      </c>
      <c r="F421" s="447">
        <f t="shared" si="28"/>
        <v>115782</v>
      </c>
      <c r="G421" s="448">
        <f t="shared" si="29"/>
        <v>120814</v>
      </c>
      <c r="H421" s="449">
        <v>43547</v>
      </c>
      <c r="I421" s="450">
        <v>43511</v>
      </c>
      <c r="J421" s="449">
        <v>42733</v>
      </c>
      <c r="K421" s="450">
        <v>41197</v>
      </c>
      <c r="L421" s="449">
        <v>21439</v>
      </c>
      <c r="M421" s="449">
        <v>6109</v>
      </c>
      <c r="N421" s="449">
        <v>1942</v>
      </c>
      <c r="O421" s="450">
        <v>26072</v>
      </c>
      <c r="P421" s="450">
        <v>6718</v>
      </c>
      <c r="Q421" s="450">
        <v>3316</v>
      </c>
      <c r="R421" s="449">
        <v>12</v>
      </c>
      <c r="S421" s="450">
        <v>0</v>
      </c>
      <c r="T421" s="447">
        <f t="shared" si="30"/>
        <v>0</v>
      </c>
      <c r="U421" s="448">
        <f t="shared" si="31"/>
        <v>0</v>
      </c>
      <c r="V421" s="449"/>
      <c r="W421" s="450"/>
      <c r="X421" s="449"/>
      <c r="Y421" s="450"/>
      <c r="Z421" s="449"/>
      <c r="AA421" s="449"/>
      <c r="AB421" s="449"/>
      <c r="AC421" s="450"/>
      <c r="AD421" s="450"/>
      <c r="AE421" s="450"/>
      <c r="AF421" s="449"/>
      <c r="AG421" s="450"/>
    </row>
    <row r="422" spans="1:33" s="27" customFormat="1" ht="15" customHeight="1">
      <c r="A422" s="3" t="s">
        <v>433</v>
      </c>
      <c r="B422" s="2" t="s">
        <v>450</v>
      </c>
      <c r="C422" s="105"/>
      <c r="D422" s="62">
        <v>220057</v>
      </c>
      <c r="E422" s="62">
        <v>10</v>
      </c>
      <c r="F422" s="447">
        <f t="shared" si="28"/>
        <v>51313</v>
      </c>
      <c r="G422" s="448">
        <f t="shared" si="29"/>
        <v>52670</v>
      </c>
      <c r="H422" s="449">
        <v>15105</v>
      </c>
      <c r="I422" s="450">
        <v>16279</v>
      </c>
      <c r="J422" s="449">
        <v>20231</v>
      </c>
      <c r="K422" s="450">
        <v>19381</v>
      </c>
      <c r="L422" s="449">
        <v>11824</v>
      </c>
      <c r="M422" s="449">
        <v>2906</v>
      </c>
      <c r="N422" s="449">
        <v>981</v>
      </c>
      <c r="O422" s="450">
        <v>12698</v>
      </c>
      <c r="P422" s="450">
        <v>3386</v>
      </c>
      <c r="Q422" s="450">
        <v>706</v>
      </c>
      <c r="R422" s="449">
        <v>266</v>
      </c>
      <c r="S422" s="450">
        <v>220</v>
      </c>
      <c r="T422" s="447">
        <f t="shared" si="30"/>
        <v>0</v>
      </c>
      <c r="U422" s="448">
        <f t="shared" si="31"/>
        <v>0</v>
      </c>
      <c r="V422" s="449"/>
      <c r="W422" s="450"/>
      <c r="X422" s="449"/>
      <c r="Y422" s="450"/>
      <c r="Z422" s="449"/>
      <c r="AA422" s="449"/>
      <c r="AB422" s="449"/>
      <c r="AC422" s="450"/>
      <c r="AD422" s="450"/>
      <c r="AE422" s="450"/>
      <c r="AF422" s="449"/>
      <c r="AG422" s="450"/>
    </row>
    <row r="423" spans="1:33" s="27" customFormat="1" ht="15" customHeight="1">
      <c r="A423" s="63" t="s">
        <v>433</v>
      </c>
      <c r="B423" s="2" t="s">
        <v>456</v>
      </c>
      <c r="C423" s="105" t="s">
        <v>802</v>
      </c>
      <c r="D423" s="62" t="s">
        <v>457</v>
      </c>
      <c r="E423" s="469">
        <v>13</v>
      </c>
      <c r="F423" s="447">
        <f t="shared" si="28"/>
        <v>0</v>
      </c>
      <c r="G423" s="448">
        <f t="shared" si="29"/>
        <v>0</v>
      </c>
      <c r="H423" s="449"/>
      <c r="I423" s="450"/>
      <c r="J423" s="449"/>
      <c r="K423" s="450"/>
      <c r="L423" s="449"/>
      <c r="M423" s="449"/>
      <c r="N423" s="449"/>
      <c r="O423" s="450"/>
      <c r="P423" s="450"/>
      <c r="Q423" s="450"/>
      <c r="R423" s="449"/>
      <c r="S423" s="450"/>
      <c r="T423" s="447">
        <f t="shared" si="30"/>
        <v>0</v>
      </c>
      <c r="U423" s="448">
        <f t="shared" si="31"/>
        <v>0</v>
      </c>
      <c r="V423" s="449"/>
      <c r="W423" s="450"/>
      <c r="X423" s="449"/>
      <c r="Y423" s="450"/>
      <c r="Z423" s="449"/>
      <c r="AA423" s="449"/>
      <c r="AB423" s="449"/>
      <c r="AC423" s="450"/>
      <c r="AD423" s="450"/>
      <c r="AE423" s="450"/>
      <c r="AF423" s="449"/>
      <c r="AG423" s="450"/>
    </row>
    <row r="424" spans="1:33" s="27" customFormat="1" ht="15" customHeight="1">
      <c r="A424" s="63" t="s">
        <v>433</v>
      </c>
      <c r="B424" s="65" t="s">
        <v>458</v>
      </c>
      <c r="C424" s="66"/>
      <c r="D424" s="62">
        <v>219596</v>
      </c>
      <c r="E424" s="62">
        <v>13</v>
      </c>
      <c r="F424" s="447">
        <f t="shared" si="28"/>
        <v>0</v>
      </c>
      <c r="G424" s="448">
        <f t="shared" si="29"/>
        <v>0</v>
      </c>
      <c r="H424" s="449"/>
      <c r="I424" s="450"/>
      <c r="J424" s="449"/>
      <c r="K424" s="450"/>
      <c r="L424" s="449"/>
      <c r="M424" s="449"/>
      <c r="N424" s="449"/>
      <c r="O424" s="450"/>
      <c r="P424" s="450"/>
      <c r="Q424" s="450"/>
      <c r="R424" s="449"/>
      <c r="S424" s="450"/>
      <c r="T424" s="447">
        <f t="shared" si="30"/>
        <v>0</v>
      </c>
      <c r="U424" s="448">
        <f t="shared" si="31"/>
        <v>0</v>
      </c>
      <c r="V424" s="449"/>
      <c r="W424" s="450"/>
      <c r="X424" s="449"/>
      <c r="Y424" s="450"/>
      <c r="Z424" s="449"/>
      <c r="AA424" s="449"/>
      <c r="AB424" s="449"/>
      <c r="AC424" s="450"/>
      <c r="AD424" s="450"/>
      <c r="AE424" s="450"/>
      <c r="AF424" s="449"/>
      <c r="AG424" s="450"/>
    </row>
    <row r="425" spans="1:33" s="27" customFormat="1" ht="15" customHeight="1">
      <c r="A425" s="3" t="s">
        <v>433</v>
      </c>
      <c r="B425" s="2" t="s">
        <v>459</v>
      </c>
      <c r="C425" s="1"/>
      <c r="D425" s="62">
        <v>219921</v>
      </c>
      <c r="E425" s="62">
        <v>13</v>
      </c>
      <c r="F425" s="447">
        <f t="shared" si="28"/>
        <v>0</v>
      </c>
      <c r="G425" s="448">
        <f t="shared" si="29"/>
        <v>0</v>
      </c>
      <c r="H425" s="449"/>
      <c r="I425" s="450"/>
      <c r="J425" s="449"/>
      <c r="K425" s="450"/>
      <c r="L425" s="449"/>
      <c r="M425" s="449"/>
      <c r="N425" s="449"/>
      <c r="O425" s="450"/>
      <c r="P425" s="450"/>
      <c r="Q425" s="450"/>
      <c r="R425" s="449"/>
      <c r="S425" s="450"/>
      <c r="T425" s="447">
        <f t="shared" si="30"/>
        <v>0</v>
      </c>
      <c r="U425" s="448">
        <f t="shared" si="31"/>
        <v>0</v>
      </c>
      <c r="V425" s="449"/>
      <c r="W425" s="450"/>
      <c r="X425" s="449"/>
      <c r="Y425" s="450"/>
      <c r="Z425" s="449"/>
      <c r="AA425" s="449"/>
      <c r="AB425" s="449"/>
      <c r="AC425" s="450"/>
      <c r="AD425" s="450"/>
      <c r="AE425" s="450"/>
      <c r="AF425" s="449"/>
      <c r="AG425" s="450"/>
    </row>
    <row r="426" spans="1:33" s="27" customFormat="1" ht="15" customHeight="1">
      <c r="A426" s="63" t="s">
        <v>433</v>
      </c>
      <c r="B426" s="2" t="s">
        <v>460</v>
      </c>
      <c r="C426" s="64"/>
      <c r="D426" s="62">
        <v>221591</v>
      </c>
      <c r="E426" s="62">
        <v>13</v>
      </c>
      <c r="F426" s="447">
        <f t="shared" si="28"/>
        <v>0</v>
      </c>
      <c r="G426" s="448">
        <f t="shared" si="29"/>
        <v>0</v>
      </c>
      <c r="H426" s="449"/>
      <c r="I426" s="450"/>
      <c r="J426" s="449"/>
      <c r="K426" s="450"/>
      <c r="L426" s="449"/>
      <c r="M426" s="449"/>
      <c r="N426" s="449"/>
      <c r="O426" s="450"/>
      <c r="P426" s="450"/>
      <c r="Q426" s="450"/>
      <c r="R426" s="449"/>
      <c r="S426" s="450"/>
      <c r="T426" s="447">
        <f t="shared" si="30"/>
        <v>0</v>
      </c>
      <c r="U426" s="448">
        <f t="shared" si="31"/>
        <v>0</v>
      </c>
      <c r="V426" s="449"/>
      <c r="W426" s="450"/>
      <c r="X426" s="449"/>
      <c r="Y426" s="450"/>
      <c r="Z426" s="449"/>
      <c r="AA426" s="449"/>
      <c r="AB426" s="449"/>
      <c r="AC426" s="450"/>
      <c r="AD426" s="450"/>
      <c r="AE426" s="450"/>
      <c r="AF426" s="449"/>
      <c r="AG426" s="450"/>
    </row>
    <row r="427" spans="1:33" s="27" customFormat="1" ht="15" customHeight="1">
      <c r="A427" s="63" t="s">
        <v>433</v>
      </c>
      <c r="B427" s="65" t="s">
        <v>461</v>
      </c>
      <c r="C427" s="66"/>
      <c r="D427" s="62">
        <v>221430</v>
      </c>
      <c r="E427" s="62">
        <v>13</v>
      </c>
      <c r="F427" s="447">
        <f t="shared" si="28"/>
        <v>0</v>
      </c>
      <c r="G427" s="448">
        <f t="shared" si="29"/>
        <v>0</v>
      </c>
      <c r="H427" s="449"/>
      <c r="I427" s="450"/>
      <c r="J427" s="449"/>
      <c r="K427" s="450"/>
      <c r="L427" s="449"/>
      <c r="M427" s="449"/>
      <c r="N427" s="449"/>
      <c r="O427" s="450"/>
      <c r="P427" s="450"/>
      <c r="Q427" s="450"/>
      <c r="R427" s="449"/>
      <c r="S427" s="450"/>
      <c r="T427" s="447">
        <f t="shared" si="30"/>
        <v>0</v>
      </c>
      <c r="U427" s="448">
        <f t="shared" si="31"/>
        <v>0</v>
      </c>
      <c r="V427" s="449"/>
      <c r="W427" s="450"/>
      <c r="X427" s="449"/>
      <c r="Y427" s="450"/>
      <c r="Z427" s="449"/>
      <c r="AA427" s="449"/>
      <c r="AB427" s="449"/>
      <c r="AC427" s="450"/>
      <c r="AD427" s="450"/>
      <c r="AE427" s="450"/>
      <c r="AF427" s="449"/>
      <c r="AG427" s="450"/>
    </row>
    <row r="428" spans="1:33" s="27" customFormat="1" ht="12.75" customHeight="1">
      <c r="A428" s="3" t="s">
        <v>433</v>
      </c>
      <c r="B428" s="2" t="s">
        <v>462</v>
      </c>
      <c r="C428" s="1"/>
      <c r="D428" s="62">
        <v>219994</v>
      </c>
      <c r="E428" s="62">
        <v>13</v>
      </c>
      <c r="F428" s="447">
        <f t="shared" si="28"/>
        <v>0</v>
      </c>
      <c r="G428" s="448">
        <f t="shared" si="29"/>
        <v>0</v>
      </c>
      <c r="H428" s="449"/>
      <c r="I428" s="450"/>
      <c r="J428" s="449"/>
      <c r="K428" s="450"/>
      <c r="L428" s="449"/>
      <c r="M428" s="449"/>
      <c r="N428" s="449"/>
      <c r="O428" s="450"/>
      <c r="P428" s="450"/>
      <c r="Q428" s="450"/>
      <c r="R428" s="449"/>
      <c r="S428" s="450"/>
      <c r="T428" s="447">
        <f t="shared" si="30"/>
        <v>0</v>
      </c>
      <c r="U428" s="448">
        <f t="shared" si="31"/>
        <v>0</v>
      </c>
      <c r="V428" s="449"/>
      <c r="W428" s="450"/>
      <c r="X428" s="449"/>
      <c r="Y428" s="450"/>
      <c r="Z428" s="449"/>
      <c r="AA428" s="449"/>
      <c r="AB428" s="449"/>
      <c r="AC428" s="450"/>
      <c r="AD428" s="450"/>
      <c r="AE428" s="450"/>
      <c r="AF428" s="449"/>
      <c r="AG428" s="450"/>
    </row>
    <row r="429" spans="1:33">
      <c r="A429" s="63" t="s">
        <v>433</v>
      </c>
      <c r="B429" s="2" t="s">
        <v>463</v>
      </c>
      <c r="C429" s="64"/>
      <c r="D429" s="62">
        <v>220127</v>
      </c>
      <c r="E429" s="62">
        <v>13</v>
      </c>
      <c r="F429" s="447">
        <f t="shared" si="28"/>
        <v>0</v>
      </c>
      <c r="G429" s="448">
        <f t="shared" si="29"/>
        <v>0</v>
      </c>
      <c r="H429" s="449"/>
      <c r="I429" s="450"/>
      <c r="J429" s="449"/>
      <c r="K429" s="450"/>
      <c r="L429" s="449"/>
      <c r="M429" s="449"/>
      <c r="N429" s="449"/>
      <c r="O429" s="450"/>
      <c r="P429" s="450"/>
      <c r="Q429" s="450"/>
      <c r="R429" s="449"/>
      <c r="S429" s="450"/>
      <c r="T429" s="447">
        <f t="shared" si="30"/>
        <v>0</v>
      </c>
      <c r="U429" s="448">
        <f t="shared" si="31"/>
        <v>0</v>
      </c>
      <c r="V429" s="449"/>
      <c r="W429" s="450"/>
      <c r="X429" s="449"/>
      <c r="Y429" s="450"/>
      <c r="Z429" s="449"/>
      <c r="AA429" s="449"/>
      <c r="AB429" s="449"/>
      <c r="AC429" s="450"/>
      <c r="AD429" s="450"/>
      <c r="AE429" s="450"/>
      <c r="AF429" s="449"/>
      <c r="AG429" s="450"/>
    </row>
    <row r="430" spans="1:33">
      <c r="A430" s="63" t="s">
        <v>433</v>
      </c>
      <c r="B430" s="65" t="s">
        <v>464</v>
      </c>
      <c r="C430" s="66"/>
      <c r="D430" s="62">
        <v>220251</v>
      </c>
      <c r="E430" s="62">
        <v>13</v>
      </c>
      <c r="F430" s="447">
        <f t="shared" si="28"/>
        <v>0</v>
      </c>
      <c r="G430" s="448">
        <f t="shared" si="29"/>
        <v>0</v>
      </c>
      <c r="H430" s="449"/>
      <c r="I430" s="450"/>
      <c r="J430" s="449"/>
      <c r="K430" s="450"/>
      <c r="L430" s="449"/>
      <c r="M430" s="449"/>
      <c r="N430" s="449"/>
      <c r="O430" s="450"/>
      <c r="P430" s="450"/>
      <c r="Q430" s="450"/>
      <c r="R430" s="449"/>
      <c r="S430" s="450"/>
      <c r="T430" s="447">
        <f t="shared" si="30"/>
        <v>0</v>
      </c>
      <c r="U430" s="448">
        <f t="shared" si="31"/>
        <v>0</v>
      </c>
      <c r="V430" s="449"/>
      <c r="W430" s="450"/>
      <c r="X430" s="449"/>
      <c r="Y430" s="450"/>
      <c r="Z430" s="449"/>
      <c r="AA430" s="449"/>
      <c r="AB430" s="449"/>
      <c r="AC430" s="450"/>
      <c r="AD430" s="450"/>
      <c r="AE430" s="450"/>
      <c r="AF430" s="449"/>
      <c r="AG430" s="450"/>
    </row>
    <row r="431" spans="1:33">
      <c r="A431" s="3" t="s">
        <v>433</v>
      </c>
      <c r="B431" s="2" t="s">
        <v>465</v>
      </c>
      <c r="C431" s="1"/>
      <c r="D431" s="62">
        <v>220279</v>
      </c>
      <c r="E431" s="62">
        <v>13</v>
      </c>
      <c r="F431" s="447">
        <f t="shared" si="28"/>
        <v>0</v>
      </c>
      <c r="G431" s="448">
        <f t="shared" si="29"/>
        <v>0</v>
      </c>
      <c r="H431" s="449"/>
      <c r="I431" s="450"/>
      <c r="J431" s="449"/>
      <c r="K431" s="450"/>
      <c r="L431" s="449"/>
      <c r="M431" s="449"/>
      <c r="N431" s="449"/>
      <c r="O431" s="450"/>
      <c r="P431" s="450"/>
      <c r="Q431" s="450"/>
      <c r="R431" s="449"/>
      <c r="S431" s="450"/>
      <c r="T431" s="447">
        <f t="shared" si="30"/>
        <v>0</v>
      </c>
      <c r="U431" s="448">
        <f t="shared" si="31"/>
        <v>0</v>
      </c>
      <c r="V431" s="449"/>
      <c r="W431" s="450"/>
      <c r="X431" s="449"/>
      <c r="Y431" s="450"/>
      <c r="Z431" s="449"/>
      <c r="AA431" s="449"/>
      <c r="AB431" s="449"/>
      <c r="AC431" s="450"/>
      <c r="AD431" s="450"/>
      <c r="AE431" s="450"/>
      <c r="AF431" s="449"/>
      <c r="AG431" s="450"/>
    </row>
    <row r="432" spans="1:33">
      <c r="A432" s="63" t="s">
        <v>433</v>
      </c>
      <c r="B432" s="2" t="s">
        <v>466</v>
      </c>
      <c r="C432" s="64"/>
      <c r="D432" s="62">
        <v>220321</v>
      </c>
      <c r="E432" s="62">
        <v>13</v>
      </c>
      <c r="F432" s="447">
        <f t="shared" si="28"/>
        <v>0</v>
      </c>
      <c r="G432" s="448">
        <f t="shared" si="29"/>
        <v>0</v>
      </c>
      <c r="H432" s="449"/>
      <c r="I432" s="450"/>
      <c r="J432" s="449"/>
      <c r="K432" s="450"/>
      <c r="L432" s="449"/>
      <c r="M432" s="449"/>
      <c r="N432" s="449"/>
      <c r="O432" s="450"/>
      <c r="P432" s="450"/>
      <c r="Q432" s="450"/>
      <c r="R432" s="449"/>
      <c r="S432" s="450"/>
      <c r="T432" s="447">
        <f t="shared" si="30"/>
        <v>0</v>
      </c>
      <c r="U432" s="448">
        <f t="shared" si="31"/>
        <v>0</v>
      </c>
      <c r="V432" s="449"/>
      <c r="W432" s="450"/>
      <c r="X432" s="449"/>
      <c r="Y432" s="450"/>
      <c r="Z432" s="449"/>
      <c r="AA432" s="449"/>
      <c r="AB432" s="449"/>
      <c r="AC432" s="450"/>
      <c r="AD432" s="450"/>
      <c r="AE432" s="450"/>
      <c r="AF432" s="449"/>
      <c r="AG432" s="450"/>
    </row>
    <row r="433" spans="1:33" s="27" customFormat="1" ht="12.75" customHeight="1">
      <c r="A433" s="63" t="s">
        <v>433</v>
      </c>
      <c r="B433" s="65" t="s">
        <v>467</v>
      </c>
      <c r="C433" s="66"/>
      <c r="D433" s="62">
        <v>220394</v>
      </c>
      <c r="E433" s="62">
        <v>13</v>
      </c>
      <c r="F433" s="447">
        <f t="shared" si="28"/>
        <v>0</v>
      </c>
      <c r="G433" s="448">
        <f t="shared" si="29"/>
        <v>0</v>
      </c>
      <c r="H433" s="449"/>
      <c r="I433" s="450"/>
      <c r="J433" s="449"/>
      <c r="K433" s="450"/>
      <c r="L433" s="449"/>
      <c r="M433" s="449"/>
      <c r="N433" s="449"/>
      <c r="O433" s="450"/>
      <c r="P433" s="450"/>
      <c r="Q433" s="450"/>
      <c r="R433" s="449"/>
      <c r="S433" s="450"/>
      <c r="T433" s="447">
        <f t="shared" si="30"/>
        <v>0</v>
      </c>
      <c r="U433" s="448">
        <f t="shared" si="31"/>
        <v>0</v>
      </c>
      <c r="V433" s="449"/>
      <c r="W433" s="450"/>
      <c r="X433" s="449"/>
      <c r="Y433" s="450"/>
      <c r="Z433" s="449"/>
      <c r="AA433" s="449"/>
      <c r="AB433" s="449"/>
      <c r="AC433" s="450"/>
      <c r="AD433" s="450"/>
      <c r="AE433" s="450"/>
      <c r="AF433" s="449"/>
      <c r="AG433" s="450"/>
    </row>
    <row r="434" spans="1:33">
      <c r="A434" s="3" t="s">
        <v>433</v>
      </c>
      <c r="B434" s="2" t="s">
        <v>468</v>
      </c>
      <c r="C434" s="1"/>
      <c r="D434" s="62">
        <v>221616</v>
      </c>
      <c r="E434" s="62">
        <v>13</v>
      </c>
      <c r="F434" s="447">
        <f t="shared" si="28"/>
        <v>0</v>
      </c>
      <c r="G434" s="448">
        <f t="shared" si="29"/>
        <v>0</v>
      </c>
      <c r="H434" s="449"/>
      <c r="I434" s="450"/>
      <c r="J434" s="449"/>
      <c r="K434" s="450"/>
      <c r="L434" s="449"/>
      <c r="M434" s="449"/>
      <c r="N434" s="449"/>
      <c r="O434" s="450"/>
      <c r="P434" s="450"/>
      <c r="Q434" s="450"/>
      <c r="R434" s="449"/>
      <c r="S434" s="450"/>
      <c r="T434" s="447">
        <f t="shared" si="30"/>
        <v>0</v>
      </c>
      <c r="U434" s="448">
        <f t="shared" si="31"/>
        <v>0</v>
      </c>
      <c r="V434" s="449"/>
      <c r="W434" s="450"/>
      <c r="X434" s="449"/>
      <c r="Y434" s="450"/>
      <c r="Z434" s="449"/>
      <c r="AA434" s="449"/>
      <c r="AB434" s="449"/>
      <c r="AC434" s="450"/>
      <c r="AD434" s="450"/>
      <c r="AE434" s="450"/>
      <c r="AF434" s="449"/>
      <c r="AG434" s="450"/>
    </row>
    <row r="435" spans="1:33" s="27" customFormat="1" ht="12.75" customHeight="1">
      <c r="A435" s="63" t="s">
        <v>433</v>
      </c>
      <c r="B435" s="2" t="s">
        <v>469</v>
      </c>
      <c r="C435" s="64"/>
      <c r="D435" s="62">
        <v>221625</v>
      </c>
      <c r="E435" s="62">
        <v>13</v>
      </c>
      <c r="F435" s="447">
        <f t="shared" si="28"/>
        <v>0</v>
      </c>
      <c r="G435" s="448">
        <f t="shared" si="29"/>
        <v>0</v>
      </c>
      <c r="H435" s="449"/>
      <c r="I435" s="450"/>
      <c r="J435" s="449"/>
      <c r="K435" s="450"/>
      <c r="L435" s="449"/>
      <c r="M435" s="449"/>
      <c r="N435" s="449"/>
      <c r="O435" s="450"/>
      <c r="P435" s="450"/>
      <c r="Q435" s="450"/>
      <c r="R435" s="449"/>
      <c r="S435" s="450"/>
      <c r="T435" s="447">
        <f t="shared" si="30"/>
        <v>0</v>
      </c>
      <c r="U435" s="448">
        <f t="shared" si="31"/>
        <v>0</v>
      </c>
      <c r="V435" s="449"/>
      <c r="W435" s="450"/>
      <c r="X435" s="449"/>
      <c r="Y435" s="450"/>
      <c r="Z435" s="449"/>
      <c r="AA435" s="449"/>
      <c r="AB435" s="449"/>
      <c r="AC435" s="450"/>
      <c r="AD435" s="450"/>
      <c r="AE435" s="450"/>
      <c r="AF435" s="449"/>
      <c r="AG435" s="450"/>
    </row>
    <row r="436" spans="1:33">
      <c r="A436" s="63" t="s">
        <v>433</v>
      </c>
      <c r="B436" s="65" t="s">
        <v>470</v>
      </c>
      <c r="C436" s="66"/>
      <c r="D436" s="62">
        <v>220640</v>
      </c>
      <c r="E436" s="62">
        <v>13</v>
      </c>
      <c r="F436" s="447">
        <f t="shared" si="28"/>
        <v>0</v>
      </c>
      <c r="G436" s="448">
        <f t="shared" si="29"/>
        <v>0</v>
      </c>
      <c r="H436" s="449"/>
      <c r="I436" s="450"/>
      <c r="J436" s="449"/>
      <c r="K436" s="450"/>
      <c r="L436" s="449"/>
      <c r="M436" s="449"/>
      <c r="N436" s="449"/>
      <c r="O436" s="450"/>
      <c r="P436" s="450"/>
      <c r="Q436" s="450"/>
      <c r="R436" s="449"/>
      <c r="S436" s="450"/>
      <c r="T436" s="447">
        <f t="shared" si="30"/>
        <v>0</v>
      </c>
      <c r="U436" s="448">
        <f t="shared" si="31"/>
        <v>0</v>
      </c>
      <c r="V436" s="449"/>
      <c r="W436" s="450"/>
      <c r="X436" s="449"/>
      <c r="Y436" s="450"/>
      <c r="Z436" s="449"/>
      <c r="AA436" s="449"/>
      <c r="AB436" s="449"/>
      <c r="AC436" s="450"/>
      <c r="AD436" s="450"/>
      <c r="AE436" s="450"/>
      <c r="AF436" s="449"/>
      <c r="AG436" s="450"/>
    </row>
    <row r="437" spans="1:33">
      <c r="A437" s="3" t="s">
        <v>433</v>
      </c>
      <c r="B437" s="2" t="s">
        <v>471</v>
      </c>
      <c r="C437" s="1"/>
      <c r="D437" s="62">
        <v>220756</v>
      </c>
      <c r="E437" s="62">
        <v>13</v>
      </c>
      <c r="F437" s="447">
        <f t="shared" si="28"/>
        <v>0</v>
      </c>
      <c r="G437" s="448">
        <f t="shared" si="29"/>
        <v>0</v>
      </c>
      <c r="H437" s="449"/>
      <c r="I437" s="450"/>
      <c r="J437" s="449"/>
      <c r="K437" s="450"/>
      <c r="L437" s="449"/>
      <c r="M437" s="449"/>
      <c r="N437" s="449"/>
      <c r="O437" s="450"/>
      <c r="P437" s="450"/>
      <c r="Q437" s="450"/>
      <c r="R437" s="449"/>
      <c r="S437" s="450"/>
      <c r="T437" s="447">
        <f t="shared" si="30"/>
        <v>0</v>
      </c>
      <c r="U437" s="448">
        <f t="shared" si="31"/>
        <v>0</v>
      </c>
      <c r="V437" s="449"/>
      <c r="W437" s="450"/>
      <c r="X437" s="449"/>
      <c r="Y437" s="450"/>
      <c r="Z437" s="449"/>
      <c r="AA437" s="449"/>
      <c r="AB437" s="449"/>
      <c r="AC437" s="450"/>
      <c r="AD437" s="450"/>
      <c r="AE437" s="450"/>
      <c r="AF437" s="449"/>
      <c r="AG437" s="450"/>
    </row>
    <row r="438" spans="1:33">
      <c r="A438" s="63" t="s">
        <v>433</v>
      </c>
      <c r="B438" s="2" t="s">
        <v>472</v>
      </c>
      <c r="C438" s="64"/>
      <c r="D438" s="62">
        <v>221607</v>
      </c>
      <c r="E438" s="62">
        <v>13</v>
      </c>
      <c r="F438" s="447">
        <f t="shared" si="28"/>
        <v>0</v>
      </c>
      <c r="G438" s="448">
        <f t="shared" si="29"/>
        <v>0</v>
      </c>
      <c r="H438" s="449"/>
      <c r="I438" s="450"/>
      <c r="J438" s="449"/>
      <c r="K438" s="450"/>
      <c r="L438" s="449"/>
      <c r="M438" s="449"/>
      <c r="N438" s="449"/>
      <c r="O438" s="450"/>
      <c r="P438" s="450"/>
      <c r="Q438" s="450"/>
      <c r="R438" s="449"/>
      <c r="S438" s="450"/>
      <c r="T438" s="447">
        <f t="shared" si="30"/>
        <v>0</v>
      </c>
      <c r="U438" s="448">
        <f t="shared" si="31"/>
        <v>0</v>
      </c>
      <c r="V438" s="449"/>
      <c r="W438" s="450"/>
      <c r="X438" s="449"/>
      <c r="Y438" s="450"/>
      <c r="Z438" s="449"/>
      <c r="AA438" s="449"/>
      <c r="AB438" s="449"/>
      <c r="AC438" s="450"/>
      <c r="AD438" s="450"/>
      <c r="AE438" s="450"/>
      <c r="AF438" s="449"/>
      <c r="AG438" s="450"/>
    </row>
    <row r="439" spans="1:33">
      <c r="A439" s="63" t="s">
        <v>433</v>
      </c>
      <c r="B439" s="65" t="s">
        <v>473</v>
      </c>
      <c r="C439" s="66" t="s">
        <v>811</v>
      </c>
      <c r="D439" s="62">
        <v>220853</v>
      </c>
      <c r="E439" s="62">
        <v>13</v>
      </c>
      <c r="F439" s="447">
        <f t="shared" si="28"/>
        <v>0</v>
      </c>
      <c r="G439" s="448">
        <f t="shared" si="29"/>
        <v>0</v>
      </c>
      <c r="H439" s="449"/>
      <c r="I439" s="450"/>
      <c r="J439" s="449"/>
      <c r="K439" s="450"/>
      <c r="L439" s="449"/>
      <c r="M439" s="449"/>
      <c r="N439" s="449"/>
      <c r="O439" s="450"/>
      <c r="P439" s="450"/>
      <c r="Q439" s="450"/>
      <c r="R439" s="449"/>
      <c r="S439" s="450"/>
      <c r="T439" s="447">
        <f t="shared" si="30"/>
        <v>0</v>
      </c>
      <c r="U439" s="448">
        <f t="shared" si="31"/>
        <v>0</v>
      </c>
      <c r="V439" s="449"/>
      <c r="W439" s="450"/>
      <c r="X439" s="449"/>
      <c r="Y439" s="450"/>
      <c r="Z439" s="449"/>
      <c r="AA439" s="449"/>
      <c r="AB439" s="449"/>
      <c r="AC439" s="450"/>
      <c r="AD439" s="450"/>
      <c r="AE439" s="450"/>
      <c r="AF439" s="449"/>
      <c r="AG439" s="450"/>
    </row>
    <row r="440" spans="1:33">
      <c r="A440" s="3" t="s">
        <v>433</v>
      </c>
      <c r="B440" s="2" t="s">
        <v>474</v>
      </c>
      <c r="C440" s="1"/>
      <c r="D440" s="62">
        <v>221050</v>
      </c>
      <c r="E440" s="62">
        <v>13</v>
      </c>
      <c r="F440" s="447">
        <f t="shared" si="28"/>
        <v>0</v>
      </c>
      <c r="G440" s="448">
        <f t="shared" si="29"/>
        <v>0</v>
      </c>
      <c r="H440" s="449"/>
      <c r="I440" s="450"/>
      <c r="J440" s="449"/>
      <c r="K440" s="450"/>
      <c r="L440" s="449"/>
      <c r="M440" s="449"/>
      <c r="N440" s="449"/>
      <c r="O440" s="450"/>
      <c r="P440" s="450"/>
      <c r="Q440" s="450"/>
      <c r="R440" s="449"/>
      <c r="S440" s="450"/>
      <c r="T440" s="447">
        <f t="shared" si="30"/>
        <v>0</v>
      </c>
      <c r="U440" s="448">
        <f t="shared" si="31"/>
        <v>0</v>
      </c>
      <c r="V440" s="449"/>
      <c r="W440" s="450"/>
      <c r="X440" s="449"/>
      <c r="Y440" s="450"/>
      <c r="Z440" s="449"/>
      <c r="AA440" s="449"/>
      <c r="AB440" s="449"/>
      <c r="AC440" s="450"/>
      <c r="AD440" s="450"/>
      <c r="AE440" s="450"/>
      <c r="AF440" s="449"/>
      <c r="AG440" s="450"/>
    </row>
    <row r="441" spans="1:33">
      <c r="A441" s="63" t="s">
        <v>433</v>
      </c>
      <c r="B441" s="2" t="s">
        <v>475</v>
      </c>
      <c r="C441" s="64"/>
      <c r="D441" s="62">
        <v>221102</v>
      </c>
      <c r="E441" s="62">
        <v>13</v>
      </c>
      <c r="F441" s="447">
        <f t="shared" si="28"/>
        <v>0</v>
      </c>
      <c r="G441" s="448">
        <f t="shared" si="29"/>
        <v>0</v>
      </c>
      <c r="H441" s="449"/>
      <c r="I441" s="450"/>
      <c r="J441" s="449"/>
      <c r="K441" s="450"/>
      <c r="L441" s="449"/>
      <c r="M441" s="449"/>
      <c r="N441" s="449"/>
      <c r="O441" s="450"/>
      <c r="P441" s="450"/>
      <c r="Q441" s="450"/>
      <c r="R441" s="449"/>
      <c r="S441" s="450"/>
      <c r="T441" s="447">
        <f t="shared" si="30"/>
        <v>0</v>
      </c>
      <c r="U441" s="448">
        <f t="shared" si="31"/>
        <v>0</v>
      </c>
      <c r="V441" s="449"/>
      <c r="W441" s="450"/>
      <c r="X441" s="449"/>
      <c r="Y441" s="450"/>
      <c r="Z441" s="449"/>
      <c r="AA441" s="449"/>
      <c r="AB441" s="449"/>
      <c r="AC441" s="450"/>
      <c r="AD441" s="450"/>
      <c r="AE441" s="450"/>
      <c r="AF441" s="449"/>
      <c r="AG441" s="450"/>
    </row>
    <row r="442" spans="1:33">
      <c r="A442" s="63" t="s">
        <v>433</v>
      </c>
      <c r="B442" s="65" t="s">
        <v>476</v>
      </c>
      <c r="C442" s="66"/>
      <c r="D442" s="62">
        <v>248925</v>
      </c>
      <c r="E442" s="62">
        <v>13</v>
      </c>
      <c r="F442" s="447">
        <f t="shared" si="28"/>
        <v>0</v>
      </c>
      <c r="G442" s="448">
        <f t="shared" si="29"/>
        <v>0</v>
      </c>
      <c r="H442" s="449"/>
      <c r="I442" s="450"/>
      <c r="J442" s="449"/>
      <c r="K442" s="450"/>
      <c r="L442" s="449"/>
      <c r="M442" s="449"/>
      <c r="N442" s="449"/>
      <c r="O442" s="450"/>
      <c r="P442" s="450"/>
      <c r="Q442" s="450"/>
      <c r="R442" s="449"/>
      <c r="S442" s="450"/>
      <c r="T442" s="447">
        <f t="shared" si="30"/>
        <v>0</v>
      </c>
      <c r="U442" s="448">
        <f t="shared" si="31"/>
        <v>0</v>
      </c>
      <c r="V442" s="449"/>
      <c r="W442" s="450"/>
      <c r="X442" s="449"/>
      <c r="Y442" s="450"/>
      <c r="Z442" s="449"/>
      <c r="AA442" s="449"/>
      <c r="AB442" s="449"/>
      <c r="AC442" s="450"/>
      <c r="AD442" s="450"/>
      <c r="AE442" s="450"/>
      <c r="AF442" s="449"/>
      <c r="AG442" s="450"/>
    </row>
    <row r="443" spans="1:33" s="27" customFormat="1" ht="12.75" customHeight="1">
      <c r="A443" s="3" t="s">
        <v>433</v>
      </c>
      <c r="B443" s="2" t="s">
        <v>477</v>
      </c>
      <c r="C443" s="1"/>
      <c r="D443" s="62">
        <v>221236</v>
      </c>
      <c r="E443" s="62">
        <v>13</v>
      </c>
      <c r="F443" s="447">
        <f t="shared" si="28"/>
        <v>0</v>
      </c>
      <c r="G443" s="448">
        <f t="shared" si="29"/>
        <v>0</v>
      </c>
      <c r="H443" s="449"/>
      <c r="I443" s="450"/>
      <c r="J443" s="449"/>
      <c r="K443" s="450"/>
      <c r="L443" s="449"/>
      <c r="M443" s="449"/>
      <c r="N443" s="449"/>
      <c r="O443" s="450"/>
      <c r="P443" s="450"/>
      <c r="Q443" s="450"/>
      <c r="R443" s="449"/>
      <c r="S443" s="450"/>
      <c r="T443" s="447">
        <f t="shared" si="30"/>
        <v>0</v>
      </c>
      <c r="U443" s="448">
        <f t="shared" si="31"/>
        <v>0</v>
      </c>
      <c r="V443" s="449"/>
      <c r="W443" s="450"/>
      <c r="X443" s="449"/>
      <c r="Y443" s="450"/>
      <c r="Z443" s="449"/>
      <c r="AA443" s="449"/>
      <c r="AB443" s="449"/>
      <c r="AC443" s="450"/>
      <c r="AD443" s="450"/>
      <c r="AE443" s="450"/>
      <c r="AF443" s="449"/>
      <c r="AG443" s="450"/>
    </row>
    <row r="444" spans="1:33" s="27" customFormat="1" ht="12.75" customHeight="1">
      <c r="A444" s="63" t="s">
        <v>433</v>
      </c>
      <c r="B444" s="2" t="s">
        <v>478</v>
      </c>
      <c r="C444" s="64"/>
      <c r="D444" s="62">
        <v>221582</v>
      </c>
      <c r="E444" s="62">
        <v>13</v>
      </c>
      <c r="F444" s="447">
        <f t="shared" si="28"/>
        <v>0</v>
      </c>
      <c r="G444" s="448">
        <f t="shared" si="29"/>
        <v>0</v>
      </c>
      <c r="H444" s="449"/>
      <c r="I444" s="450"/>
      <c r="J444" s="449"/>
      <c r="K444" s="450"/>
      <c r="L444" s="449"/>
      <c r="M444" s="449"/>
      <c r="N444" s="449"/>
      <c r="O444" s="450"/>
      <c r="P444" s="450"/>
      <c r="Q444" s="450"/>
      <c r="R444" s="449"/>
      <c r="S444" s="450"/>
      <c r="T444" s="447">
        <f t="shared" si="30"/>
        <v>0</v>
      </c>
      <c r="U444" s="448">
        <f t="shared" si="31"/>
        <v>0</v>
      </c>
      <c r="V444" s="449"/>
      <c r="W444" s="450"/>
      <c r="X444" s="449"/>
      <c r="Y444" s="450"/>
      <c r="Z444" s="449"/>
      <c r="AA444" s="449"/>
      <c r="AB444" s="449"/>
      <c r="AC444" s="450"/>
      <c r="AD444" s="450"/>
      <c r="AE444" s="450"/>
      <c r="AF444" s="449"/>
      <c r="AG444" s="450"/>
    </row>
    <row r="445" spans="1:33">
      <c r="A445" s="63" t="s">
        <v>433</v>
      </c>
      <c r="B445" s="65" t="s">
        <v>479</v>
      </c>
      <c r="C445" s="66"/>
      <c r="D445" s="62">
        <v>221281</v>
      </c>
      <c r="E445" s="62">
        <v>13</v>
      </c>
      <c r="F445" s="447">
        <f t="shared" si="28"/>
        <v>0</v>
      </c>
      <c r="G445" s="448">
        <f t="shared" si="29"/>
        <v>0</v>
      </c>
      <c r="H445" s="449"/>
      <c r="I445" s="450"/>
      <c r="J445" s="449"/>
      <c r="K445" s="450"/>
      <c r="L445" s="449"/>
      <c r="M445" s="449"/>
      <c r="N445" s="449"/>
      <c r="O445" s="450"/>
      <c r="P445" s="450"/>
      <c r="Q445" s="450"/>
      <c r="R445" s="449"/>
      <c r="S445" s="450"/>
      <c r="T445" s="447">
        <f t="shared" si="30"/>
        <v>0</v>
      </c>
      <c r="U445" s="448">
        <f t="shared" si="31"/>
        <v>0</v>
      </c>
      <c r="V445" s="449"/>
      <c r="W445" s="450"/>
      <c r="X445" s="449"/>
      <c r="Y445" s="450"/>
      <c r="Z445" s="449"/>
      <c r="AA445" s="449"/>
      <c r="AB445" s="449"/>
      <c r="AC445" s="450"/>
      <c r="AD445" s="450"/>
      <c r="AE445" s="450"/>
      <c r="AF445" s="449"/>
      <c r="AG445" s="450"/>
    </row>
    <row r="446" spans="1:33" s="27" customFormat="1" ht="12.75" customHeight="1">
      <c r="A446" s="3" t="s">
        <v>433</v>
      </c>
      <c r="B446" s="2" t="s">
        <v>480</v>
      </c>
      <c r="C446" s="1"/>
      <c r="D446" s="62">
        <v>221333</v>
      </c>
      <c r="E446" s="62">
        <v>13</v>
      </c>
      <c r="F446" s="447">
        <f t="shared" si="28"/>
        <v>0</v>
      </c>
      <c r="G446" s="448">
        <f t="shared" si="29"/>
        <v>0</v>
      </c>
      <c r="H446" s="449"/>
      <c r="I446" s="450"/>
      <c r="J446" s="449"/>
      <c r="K446" s="450"/>
      <c r="L446" s="449"/>
      <c r="M446" s="449"/>
      <c r="N446" s="449"/>
      <c r="O446" s="450"/>
      <c r="P446" s="450"/>
      <c r="Q446" s="450"/>
      <c r="R446" s="449"/>
      <c r="S446" s="450"/>
      <c r="T446" s="447">
        <f t="shared" si="30"/>
        <v>0</v>
      </c>
      <c r="U446" s="448">
        <f t="shared" si="31"/>
        <v>0</v>
      </c>
      <c r="V446" s="449"/>
      <c r="W446" s="450"/>
      <c r="X446" s="449"/>
      <c r="Y446" s="450"/>
      <c r="Z446" s="449"/>
      <c r="AA446" s="449"/>
      <c r="AB446" s="449"/>
      <c r="AC446" s="450"/>
      <c r="AD446" s="450"/>
      <c r="AE446" s="450"/>
      <c r="AF446" s="449"/>
      <c r="AG446" s="450"/>
    </row>
    <row r="447" spans="1:33" s="27" customFormat="1" ht="12.75" customHeight="1">
      <c r="A447" s="63" t="s">
        <v>433</v>
      </c>
      <c r="B447" s="2" t="s">
        <v>481</v>
      </c>
      <c r="C447" s="64"/>
      <c r="D447" s="62">
        <v>221388</v>
      </c>
      <c r="E447" s="62">
        <v>13</v>
      </c>
      <c r="F447" s="447">
        <f t="shared" si="28"/>
        <v>0</v>
      </c>
      <c r="G447" s="448">
        <f t="shared" si="29"/>
        <v>0</v>
      </c>
      <c r="H447" s="449"/>
      <c r="I447" s="450"/>
      <c r="J447" s="449"/>
      <c r="K447" s="450"/>
      <c r="L447" s="449"/>
      <c r="M447" s="449"/>
      <c r="N447" s="449"/>
      <c r="O447" s="450"/>
      <c r="P447" s="450"/>
      <c r="Q447" s="450"/>
      <c r="R447" s="449"/>
      <c r="S447" s="450"/>
      <c r="T447" s="447">
        <f t="shared" si="30"/>
        <v>0</v>
      </c>
      <c r="U447" s="448">
        <f t="shared" si="31"/>
        <v>0</v>
      </c>
      <c r="V447" s="449"/>
      <c r="W447" s="450"/>
      <c r="X447" s="449"/>
      <c r="Y447" s="450"/>
      <c r="Z447" s="449"/>
      <c r="AA447" s="449"/>
      <c r="AB447" s="449"/>
      <c r="AC447" s="450"/>
      <c r="AD447" s="450"/>
      <c r="AE447" s="450"/>
      <c r="AF447" s="449"/>
      <c r="AG447" s="450"/>
    </row>
    <row r="448" spans="1:33" s="27" customFormat="1" ht="12.75" customHeight="1">
      <c r="A448" s="63" t="s">
        <v>433</v>
      </c>
      <c r="B448" s="65" t="s">
        <v>482</v>
      </c>
      <c r="C448" s="66"/>
      <c r="D448" s="62">
        <v>221494</v>
      </c>
      <c r="E448" s="62">
        <v>13</v>
      </c>
      <c r="F448" s="447">
        <f t="shared" si="28"/>
        <v>0</v>
      </c>
      <c r="G448" s="448">
        <f t="shared" si="29"/>
        <v>0</v>
      </c>
      <c r="H448" s="449"/>
      <c r="I448" s="450"/>
      <c r="J448" s="449"/>
      <c r="K448" s="450"/>
      <c r="L448" s="449"/>
      <c r="M448" s="449"/>
      <c r="N448" s="449"/>
      <c r="O448" s="450"/>
      <c r="P448" s="450"/>
      <c r="Q448" s="450"/>
      <c r="R448" s="449"/>
      <c r="S448" s="450"/>
      <c r="T448" s="447">
        <f t="shared" si="30"/>
        <v>0</v>
      </c>
      <c r="U448" s="448">
        <f t="shared" si="31"/>
        <v>0</v>
      </c>
      <c r="V448" s="449"/>
      <c r="W448" s="450"/>
      <c r="X448" s="449"/>
      <c r="Y448" s="450"/>
      <c r="Z448" s="449"/>
      <c r="AA448" s="449"/>
      <c r="AB448" s="449"/>
      <c r="AC448" s="450"/>
      <c r="AD448" s="450"/>
      <c r="AE448" s="450"/>
      <c r="AF448" s="449"/>
      <c r="AG448" s="450"/>
    </row>
    <row r="449" spans="1:33" s="27" customFormat="1" ht="12.75" customHeight="1">
      <c r="A449" s="3" t="s">
        <v>433</v>
      </c>
      <c r="B449" s="2" t="s">
        <v>483</v>
      </c>
      <c r="C449" s="1"/>
      <c r="D449" s="62">
        <v>221634</v>
      </c>
      <c r="E449" s="62">
        <v>13</v>
      </c>
      <c r="F449" s="447">
        <f t="shared" si="28"/>
        <v>0</v>
      </c>
      <c r="G449" s="448">
        <f t="shared" si="29"/>
        <v>0</v>
      </c>
      <c r="H449" s="449"/>
      <c r="I449" s="450"/>
      <c r="J449" s="449"/>
      <c r="K449" s="450"/>
      <c r="L449" s="449"/>
      <c r="M449" s="449"/>
      <c r="N449" s="449"/>
      <c r="O449" s="450"/>
      <c r="P449" s="450"/>
      <c r="Q449" s="450"/>
      <c r="R449" s="449"/>
      <c r="S449" s="450"/>
      <c r="T449" s="447">
        <f t="shared" si="30"/>
        <v>0</v>
      </c>
      <c r="U449" s="448">
        <f t="shared" si="31"/>
        <v>0</v>
      </c>
      <c r="V449" s="449"/>
      <c r="W449" s="450"/>
      <c r="X449" s="449"/>
      <c r="Y449" s="450"/>
      <c r="Z449" s="449"/>
      <c r="AA449" s="449"/>
      <c r="AB449" s="449"/>
      <c r="AC449" s="450"/>
      <c r="AD449" s="450"/>
      <c r="AE449" s="450"/>
      <c r="AF449" s="449"/>
      <c r="AG449" s="450"/>
    </row>
    <row r="450" spans="1:33" s="27" customFormat="1" ht="12.75" customHeight="1">
      <c r="A450" s="67" t="s">
        <v>484</v>
      </c>
      <c r="B450" s="68"/>
      <c r="C450" s="69"/>
      <c r="D450" s="70"/>
      <c r="E450" s="70"/>
      <c r="F450" s="28"/>
      <c r="G450" s="56"/>
      <c r="H450" s="28"/>
      <c r="I450" s="56"/>
      <c r="J450" s="28"/>
      <c r="K450" s="28"/>
      <c r="L450" s="28"/>
      <c r="M450" s="56"/>
      <c r="N450" s="56"/>
      <c r="O450" s="56"/>
      <c r="P450" s="28"/>
      <c r="Q450" s="56"/>
      <c r="R450" s="28"/>
      <c r="S450" s="56"/>
      <c r="T450" s="28"/>
      <c r="U450" s="56"/>
      <c r="V450" s="28"/>
      <c r="W450" s="56"/>
      <c r="X450" s="28"/>
      <c r="Y450" s="28"/>
      <c r="Z450" s="28"/>
      <c r="AA450" s="56"/>
      <c r="AB450" s="56"/>
      <c r="AC450" s="56"/>
      <c r="AD450" s="28"/>
      <c r="AE450" s="56"/>
      <c r="AF450" s="28"/>
      <c r="AG450" s="28"/>
    </row>
    <row r="451" spans="1:33" s="27" customFormat="1" ht="12.75" customHeight="1">
      <c r="A451" s="71" t="s">
        <v>486</v>
      </c>
      <c r="B451" s="72" t="s">
        <v>487</v>
      </c>
      <c r="C451" s="134"/>
      <c r="D451" s="74">
        <v>232186</v>
      </c>
      <c r="E451" s="74">
        <v>1</v>
      </c>
      <c r="F451" s="447">
        <f t="shared" ref="F451:F514" si="32">SUM(H451,J451,L451,M451,N451,R451)</f>
        <v>725722.5</v>
      </c>
      <c r="G451" s="448">
        <f t="shared" ref="G451:G514" si="33">SUM(I451,K451,O451,P451,Q451,S451)</f>
        <v>746601.5</v>
      </c>
      <c r="H451" s="449">
        <v>611251.5</v>
      </c>
      <c r="I451" s="450">
        <v>623229.5</v>
      </c>
      <c r="J451" s="449">
        <v>16432</v>
      </c>
      <c r="K451" s="450">
        <v>18049</v>
      </c>
      <c r="L451" s="449">
        <v>93407</v>
      </c>
      <c r="M451" s="449">
        <v>4632</v>
      </c>
      <c r="N451" s="449">
        <v>0</v>
      </c>
      <c r="O451" s="450">
        <v>101225</v>
      </c>
      <c r="P451" s="450">
        <v>4098</v>
      </c>
      <c r="Q451" s="450">
        <v>0</v>
      </c>
      <c r="R451" s="449"/>
      <c r="S451" s="450"/>
      <c r="T451" s="447">
        <f t="shared" ref="T451:T514" si="34">SUM(V451,X451,Z451,AA451,AB451,AF451)</f>
        <v>168370.5</v>
      </c>
      <c r="U451" s="448">
        <f t="shared" ref="U451:U514" si="35">SUM(W451,Y451,AC451,AD451,AE451,AG451)</f>
        <v>170295</v>
      </c>
      <c r="V451" s="449">
        <v>125528.5</v>
      </c>
      <c r="W451" s="450">
        <v>121582</v>
      </c>
      <c r="X451" s="449">
        <v>11118.5</v>
      </c>
      <c r="Y451" s="450">
        <v>12409.5</v>
      </c>
      <c r="Z451" s="449">
        <v>25520</v>
      </c>
      <c r="AA451" s="449">
        <v>6203.5</v>
      </c>
      <c r="AB451" s="449">
        <v>0</v>
      </c>
      <c r="AC451" s="450">
        <v>30324.5</v>
      </c>
      <c r="AD451" s="450">
        <v>5979</v>
      </c>
      <c r="AE451" s="450">
        <v>0</v>
      </c>
      <c r="AF451" s="449"/>
      <c r="AG451" s="450"/>
    </row>
    <row r="452" spans="1:33" s="27" customFormat="1" ht="12.75" customHeight="1">
      <c r="A452" s="71" t="s">
        <v>486</v>
      </c>
      <c r="B452" s="72" t="s">
        <v>488</v>
      </c>
      <c r="C452" s="134"/>
      <c r="D452" s="74">
        <v>232982</v>
      </c>
      <c r="E452" s="74">
        <v>1</v>
      </c>
      <c r="F452" s="447">
        <f t="shared" si="32"/>
        <v>506785</v>
      </c>
      <c r="G452" s="448">
        <f t="shared" si="33"/>
        <v>500907</v>
      </c>
      <c r="H452" s="449">
        <v>358145</v>
      </c>
      <c r="I452" s="450">
        <v>344197</v>
      </c>
      <c r="J452" s="449">
        <v>158</v>
      </c>
      <c r="K452" s="450">
        <v>232</v>
      </c>
      <c r="L452" s="449">
        <v>127598</v>
      </c>
      <c r="M452" s="449">
        <v>20816</v>
      </c>
      <c r="N452" s="449">
        <v>68</v>
      </c>
      <c r="O452" s="450">
        <v>137658</v>
      </c>
      <c r="P452" s="450">
        <v>18770</v>
      </c>
      <c r="Q452" s="450">
        <v>50</v>
      </c>
      <c r="R452" s="449"/>
      <c r="S452" s="450"/>
      <c r="T452" s="447">
        <f t="shared" si="34"/>
        <v>68417</v>
      </c>
      <c r="U452" s="448">
        <f t="shared" si="35"/>
        <v>66439</v>
      </c>
      <c r="V452" s="449">
        <v>33793</v>
      </c>
      <c r="W452" s="450">
        <v>31487</v>
      </c>
      <c r="X452" s="449">
        <v>322</v>
      </c>
      <c r="Y452" s="450">
        <v>216</v>
      </c>
      <c r="Z452" s="449">
        <v>22370</v>
      </c>
      <c r="AA452" s="449">
        <v>10392</v>
      </c>
      <c r="AB452" s="449">
        <v>1540</v>
      </c>
      <c r="AC452" s="450">
        <v>22309</v>
      </c>
      <c r="AD452" s="450">
        <v>10566</v>
      </c>
      <c r="AE452" s="450">
        <v>1861</v>
      </c>
      <c r="AF452" s="449"/>
      <c r="AG452" s="450"/>
    </row>
    <row r="453" spans="1:33" s="27" customFormat="1" ht="12.75" customHeight="1">
      <c r="A453" s="71" t="s">
        <v>486</v>
      </c>
      <c r="B453" s="72" t="s">
        <v>489</v>
      </c>
      <c r="C453" s="73"/>
      <c r="D453" s="74">
        <v>234076</v>
      </c>
      <c r="E453" s="74">
        <v>1</v>
      </c>
      <c r="F453" s="447">
        <f t="shared" si="32"/>
        <v>497384</v>
      </c>
      <c r="G453" s="448">
        <f t="shared" si="33"/>
        <v>507366.5</v>
      </c>
      <c r="H453" s="449">
        <v>471212.5</v>
      </c>
      <c r="I453" s="450">
        <v>476247</v>
      </c>
      <c r="J453" s="449">
        <v>16654.5</v>
      </c>
      <c r="K453" s="450">
        <v>19753.5</v>
      </c>
      <c r="L453" s="449">
        <v>9061</v>
      </c>
      <c r="M453" s="449">
        <v>456</v>
      </c>
      <c r="N453" s="449">
        <v>0</v>
      </c>
      <c r="O453" s="450">
        <v>10734</v>
      </c>
      <c r="P453" s="450">
        <v>632</v>
      </c>
      <c r="Q453" s="450">
        <v>0</v>
      </c>
      <c r="R453" s="449"/>
      <c r="S453" s="450"/>
      <c r="T453" s="447">
        <f t="shared" si="34"/>
        <v>194776</v>
      </c>
      <c r="U453" s="448">
        <f t="shared" si="35"/>
        <v>199952</v>
      </c>
      <c r="V453" s="449">
        <v>169112.5</v>
      </c>
      <c r="W453" s="450">
        <v>172774</v>
      </c>
      <c r="X453" s="449">
        <v>13129.5</v>
      </c>
      <c r="Y453" s="450">
        <v>12878.5</v>
      </c>
      <c r="Z453" s="449">
        <v>10753</v>
      </c>
      <c r="AA453" s="449">
        <v>1781</v>
      </c>
      <c r="AB453" s="449">
        <v>0</v>
      </c>
      <c r="AC453" s="450">
        <v>11539</v>
      </c>
      <c r="AD453" s="450">
        <v>2760.5</v>
      </c>
      <c r="AE453" s="450">
        <v>0</v>
      </c>
      <c r="AF453" s="449"/>
      <c r="AG453" s="450"/>
    </row>
    <row r="454" spans="1:33" s="27" customFormat="1" ht="13.5" customHeight="1">
      <c r="A454" s="71" t="s">
        <v>486</v>
      </c>
      <c r="B454" s="72" t="s">
        <v>490</v>
      </c>
      <c r="C454" s="76"/>
      <c r="D454" s="74">
        <v>234030</v>
      </c>
      <c r="E454" s="74">
        <v>1</v>
      </c>
      <c r="F454" s="447">
        <f t="shared" si="32"/>
        <v>644945.5</v>
      </c>
      <c r="G454" s="448">
        <f t="shared" si="33"/>
        <v>631886</v>
      </c>
      <c r="H454" s="449">
        <v>573032</v>
      </c>
      <c r="I454" s="450">
        <v>556033</v>
      </c>
      <c r="J454" s="449">
        <v>7773</v>
      </c>
      <c r="K454" s="450">
        <v>7692</v>
      </c>
      <c r="L454" s="449">
        <v>62562.5</v>
      </c>
      <c r="M454" s="449">
        <v>1578</v>
      </c>
      <c r="N454" s="449">
        <v>0</v>
      </c>
      <c r="O454" s="450">
        <v>67344</v>
      </c>
      <c r="P454" s="450">
        <v>817</v>
      </c>
      <c r="Q454" s="450">
        <v>0</v>
      </c>
      <c r="R454" s="449"/>
      <c r="S454" s="450"/>
      <c r="T454" s="447">
        <f t="shared" si="34"/>
        <v>133045.5</v>
      </c>
      <c r="U454" s="448">
        <f t="shared" si="35"/>
        <v>132305</v>
      </c>
      <c r="V454" s="449">
        <v>114369.5</v>
      </c>
      <c r="W454" s="450">
        <v>112489</v>
      </c>
      <c r="X454" s="449">
        <v>4092</v>
      </c>
      <c r="Y454" s="450">
        <v>3343</v>
      </c>
      <c r="Z454" s="449">
        <v>14084</v>
      </c>
      <c r="AA454" s="449">
        <v>500</v>
      </c>
      <c r="AB454" s="449">
        <v>0</v>
      </c>
      <c r="AC454" s="450">
        <v>16071</v>
      </c>
      <c r="AD454" s="450">
        <v>402</v>
      </c>
      <c r="AE454" s="450">
        <v>0</v>
      </c>
      <c r="AF454" s="449"/>
      <c r="AG454" s="450"/>
    </row>
    <row r="455" spans="1:33" s="27" customFormat="1" ht="12.75" customHeight="1">
      <c r="A455" s="71" t="s">
        <v>486</v>
      </c>
      <c r="B455" s="72" t="s">
        <v>491</v>
      </c>
      <c r="C455" s="73"/>
      <c r="D455" s="74">
        <v>233921</v>
      </c>
      <c r="E455" s="74">
        <v>1</v>
      </c>
      <c r="F455" s="447">
        <f t="shared" si="32"/>
        <v>855575</v>
      </c>
      <c r="G455" s="448">
        <f t="shared" si="33"/>
        <v>888575</v>
      </c>
      <c r="H455" s="449">
        <v>830986</v>
      </c>
      <c r="I455" s="450">
        <v>861814</v>
      </c>
      <c r="J455" s="449">
        <v>295</v>
      </c>
      <c r="K455" s="450">
        <v>184</v>
      </c>
      <c r="L455" s="449">
        <v>22982</v>
      </c>
      <c r="M455" s="449">
        <v>1312</v>
      </c>
      <c r="N455" s="449">
        <v>0</v>
      </c>
      <c r="O455" s="450">
        <v>25306</v>
      </c>
      <c r="P455" s="450">
        <v>1271</v>
      </c>
      <c r="Q455" s="450">
        <v>0</v>
      </c>
      <c r="R455" s="449"/>
      <c r="S455" s="450"/>
      <c r="T455" s="447">
        <f t="shared" si="34"/>
        <v>145354</v>
      </c>
      <c r="U455" s="448">
        <f t="shared" si="35"/>
        <v>145332</v>
      </c>
      <c r="V455" s="449">
        <v>111242</v>
      </c>
      <c r="W455" s="450">
        <v>108192</v>
      </c>
      <c r="X455" s="449">
        <v>18145</v>
      </c>
      <c r="Y455" s="450">
        <v>18389</v>
      </c>
      <c r="Z455" s="449">
        <v>12177</v>
      </c>
      <c r="AA455" s="449">
        <v>3790</v>
      </c>
      <c r="AB455" s="449">
        <v>0</v>
      </c>
      <c r="AC455" s="450">
        <v>12734</v>
      </c>
      <c r="AD455" s="450">
        <v>6017</v>
      </c>
      <c r="AE455" s="450">
        <v>0</v>
      </c>
      <c r="AF455" s="449"/>
      <c r="AG455" s="450"/>
    </row>
    <row r="456" spans="1:33" s="27" customFormat="1" ht="12.75" customHeight="1">
      <c r="A456" s="71" t="s">
        <v>486</v>
      </c>
      <c r="B456" s="72" t="s">
        <v>492</v>
      </c>
      <c r="C456" s="73"/>
      <c r="D456" s="74">
        <v>231624</v>
      </c>
      <c r="E456" s="74">
        <v>2</v>
      </c>
      <c r="F456" s="447">
        <f t="shared" si="32"/>
        <v>186440.5</v>
      </c>
      <c r="G456" s="448">
        <f t="shared" si="33"/>
        <v>184143.5</v>
      </c>
      <c r="H456" s="449">
        <v>181070.5</v>
      </c>
      <c r="I456" s="450">
        <v>177776.5</v>
      </c>
      <c r="J456" s="449">
        <v>4630</v>
      </c>
      <c r="K456" s="450">
        <v>5239</v>
      </c>
      <c r="L456" s="449">
        <v>720</v>
      </c>
      <c r="M456" s="449">
        <v>20</v>
      </c>
      <c r="N456" s="449">
        <v>0</v>
      </c>
      <c r="O456" s="450">
        <v>1128</v>
      </c>
      <c r="P456" s="450">
        <v>0</v>
      </c>
      <c r="Q456" s="450">
        <v>0</v>
      </c>
      <c r="R456" s="449"/>
      <c r="S456" s="450"/>
      <c r="T456" s="447">
        <f t="shared" si="34"/>
        <v>61312.5</v>
      </c>
      <c r="U456" s="448">
        <f t="shared" si="35"/>
        <v>59874</v>
      </c>
      <c r="V456" s="449">
        <v>48944</v>
      </c>
      <c r="W456" s="450">
        <v>45856.5</v>
      </c>
      <c r="X456" s="449">
        <v>4751.5</v>
      </c>
      <c r="Y456" s="450">
        <v>4544</v>
      </c>
      <c r="Z456" s="449">
        <v>7587</v>
      </c>
      <c r="AA456" s="449">
        <v>30</v>
      </c>
      <c r="AB456" s="449">
        <v>0</v>
      </c>
      <c r="AC456" s="450">
        <v>9473.5</v>
      </c>
      <c r="AD456" s="450">
        <v>0</v>
      </c>
      <c r="AE456" s="450">
        <v>0</v>
      </c>
      <c r="AF456" s="449"/>
      <c r="AG456" s="450"/>
    </row>
    <row r="457" spans="1:33" s="27" customFormat="1" ht="12.75" customHeight="1">
      <c r="A457" s="71" t="s">
        <v>486</v>
      </c>
      <c r="B457" s="72" t="s">
        <v>493</v>
      </c>
      <c r="C457" s="134"/>
      <c r="D457" s="74">
        <v>232423</v>
      </c>
      <c r="E457" s="74">
        <v>3</v>
      </c>
      <c r="F457" s="447">
        <f t="shared" si="32"/>
        <v>592536</v>
      </c>
      <c r="G457" s="448">
        <f t="shared" si="33"/>
        <v>591489</v>
      </c>
      <c r="H457" s="449">
        <v>548934</v>
      </c>
      <c r="I457" s="450">
        <v>546836</v>
      </c>
      <c r="J457" s="449">
        <v>12348</v>
      </c>
      <c r="K457" s="450">
        <v>11744</v>
      </c>
      <c r="L457" s="449">
        <v>30996</v>
      </c>
      <c r="M457" s="449">
        <v>258</v>
      </c>
      <c r="N457" s="449">
        <v>0</v>
      </c>
      <c r="O457" s="450">
        <v>32909</v>
      </c>
      <c r="P457" s="450">
        <v>0</v>
      </c>
      <c r="Q457" s="450">
        <v>0</v>
      </c>
      <c r="R457" s="449"/>
      <c r="S457" s="450"/>
      <c r="T457" s="447">
        <f t="shared" si="34"/>
        <v>35833</v>
      </c>
      <c r="U457" s="448">
        <f t="shared" si="35"/>
        <v>35661</v>
      </c>
      <c r="V457" s="449">
        <v>25141</v>
      </c>
      <c r="W457" s="450">
        <v>24609</v>
      </c>
      <c r="X457" s="449">
        <v>2846</v>
      </c>
      <c r="Y457" s="450">
        <v>2730</v>
      </c>
      <c r="Z457" s="449">
        <v>7846</v>
      </c>
      <c r="AA457" s="449">
        <v>0</v>
      </c>
      <c r="AB457" s="449">
        <v>0</v>
      </c>
      <c r="AC457" s="450">
        <v>8322</v>
      </c>
      <c r="AD457" s="450">
        <v>0</v>
      </c>
      <c r="AE457" s="450">
        <v>0</v>
      </c>
      <c r="AF457" s="449"/>
      <c r="AG457" s="450"/>
    </row>
    <row r="458" spans="1:33" s="27" customFormat="1" ht="12.75" customHeight="1">
      <c r="A458" s="71" t="s">
        <v>486</v>
      </c>
      <c r="B458" s="72" t="s">
        <v>494</v>
      </c>
      <c r="C458" s="134" t="s">
        <v>797</v>
      </c>
      <c r="D458" s="74">
        <v>232566</v>
      </c>
      <c r="E458" s="74">
        <v>3</v>
      </c>
      <c r="F458" s="447">
        <f t="shared" si="32"/>
        <v>124140</v>
      </c>
      <c r="G458" s="448">
        <f t="shared" si="33"/>
        <v>115258</v>
      </c>
      <c r="H458" s="449">
        <v>108948</v>
      </c>
      <c r="I458" s="450">
        <v>103717</v>
      </c>
      <c r="J458" s="449">
        <v>2644</v>
      </c>
      <c r="K458" s="450">
        <v>1149</v>
      </c>
      <c r="L458" s="449">
        <v>12548</v>
      </c>
      <c r="M458" s="449">
        <v>0</v>
      </c>
      <c r="N458" s="449">
        <v>0</v>
      </c>
      <c r="O458" s="450">
        <v>10392</v>
      </c>
      <c r="P458" s="450">
        <v>0</v>
      </c>
      <c r="Q458" s="450">
        <v>0</v>
      </c>
      <c r="R458" s="449"/>
      <c r="S458" s="450"/>
      <c r="T458" s="447">
        <f t="shared" si="34"/>
        <v>10679</v>
      </c>
      <c r="U458" s="448">
        <f t="shared" si="35"/>
        <v>11102</v>
      </c>
      <c r="V458" s="449">
        <v>3719</v>
      </c>
      <c r="W458" s="450">
        <v>3038</v>
      </c>
      <c r="X458" s="449">
        <v>3202</v>
      </c>
      <c r="Y458" s="450">
        <v>2920</v>
      </c>
      <c r="Z458" s="449">
        <v>3680</v>
      </c>
      <c r="AA458" s="449">
        <v>78</v>
      </c>
      <c r="AB458" s="449">
        <v>0</v>
      </c>
      <c r="AC458" s="450">
        <v>5036</v>
      </c>
      <c r="AD458" s="450">
        <v>108</v>
      </c>
      <c r="AE458" s="450">
        <v>0</v>
      </c>
      <c r="AF458" s="449"/>
      <c r="AG458" s="450"/>
    </row>
    <row r="459" spans="1:33" s="27" customFormat="1" ht="12.75" customHeight="1">
      <c r="A459" s="71" t="s">
        <v>486</v>
      </c>
      <c r="B459" s="72" t="s">
        <v>495</v>
      </c>
      <c r="C459" s="134" t="s">
        <v>783</v>
      </c>
      <c r="D459" s="74">
        <v>232937</v>
      </c>
      <c r="E459" s="74">
        <v>3</v>
      </c>
      <c r="F459" s="447">
        <f t="shared" si="32"/>
        <v>127882</v>
      </c>
      <c r="G459" s="448">
        <f t="shared" si="33"/>
        <v>137498</v>
      </c>
      <c r="H459" s="449">
        <v>99672</v>
      </c>
      <c r="I459" s="450">
        <v>105274</v>
      </c>
      <c r="J459" s="449">
        <v>313</v>
      </c>
      <c r="K459" s="450">
        <v>207</v>
      </c>
      <c r="L459" s="449">
        <v>27897</v>
      </c>
      <c r="M459" s="449">
        <v>0</v>
      </c>
      <c r="N459" s="449">
        <v>0</v>
      </c>
      <c r="O459" s="450">
        <v>32017</v>
      </c>
      <c r="P459" s="450">
        <v>0</v>
      </c>
      <c r="Q459" s="450">
        <v>0</v>
      </c>
      <c r="R459" s="449"/>
      <c r="S459" s="450"/>
      <c r="T459" s="447">
        <f t="shared" si="34"/>
        <v>10883</v>
      </c>
      <c r="U459" s="448">
        <f t="shared" si="35"/>
        <v>9544</v>
      </c>
      <c r="V459" s="449">
        <v>8396</v>
      </c>
      <c r="W459" s="450">
        <v>7423</v>
      </c>
      <c r="X459" s="449">
        <v>12</v>
      </c>
      <c r="Y459" s="450">
        <v>9</v>
      </c>
      <c r="Z459" s="449">
        <v>2475</v>
      </c>
      <c r="AA459" s="449">
        <v>0</v>
      </c>
      <c r="AB459" s="449">
        <v>0</v>
      </c>
      <c r="AC459" s="450">
        <v>2112</v>
      </c>
      <c r="AD459" s="450">
        <v>0</v>
      </c>
      <c r="AE459" s="450">
        <v>0</v>
      </c>
      <c r="AF459" s="449"/>
      <c r="AG459" s="450"/>
    </row>
    <row r="460" spans="1:33" s="27" customFormat="1" ht="12.75" customHeight="1">
      <c r="A460" s="71" t="s">
        <v>486</v>
      </c>
      <c r="B460" s="72" t="s">
        <v>496</v>
      </c>
      <c r="C460" s="134"/>
      <c r="D460" s="74">
        <v>233277</v>
      </c>
      <c r="E460" s="74">
        <v>3</v>
      </c>
      <c r="F460" s="447">
        <f t="shared" si="32"/>
        <v>237754.7</v>
      </c>
      <c r="G460" s="448">
        <f t="shared" si="33"/>
        <v>232688.7</v>
      </c>
      <c r="H460" s="449">
        <v>204927</v>
      </c>
      <c r="I460" s="450">
        <v>190703</v>
      </c>
      <c r="J460" s="449">
        <v>3936.7</v>
      </c>
      <c r="K460" s="450">
        <v>10738.7</v>
      </c>
      <c r="L460" s="449">
        <v>28310</v>
      </c>
      <c r="M460" s="449">
        <v>581</v>
      </c>
      <c r="N460" s="449">
        <v>0</v>
      </c>
      <c r="O460" s="450">
        <v>30619</v>
      </c>
      <c r="P460" s="450">
        <v>628</v>
      </c>
      <c r="Q460" s="450">
        <v>0</v>
      </c>
      <c r="R460" s="449"/>
      <c r="S460" s="450"/>
      <c r="T460" s="447">
        <f t="shared" si="34"/>
        <v>21771</v>
      </c>
      <c r="U460" s="448">
        <f t="shared" si="35"/>
        <v>30177</v>
      </c>
      <c r="V460" s="449">
        <v>10609</v>
      </c>
      <c r="W460" s="450">
        <v>10267</v>
      </c>
      <c r="X460" s="449">
        <v>4594</v>
      </c>
      <c r="Y460" s="450">
        <v>6989</v>
      </c>
      <c r="Z460" s="449">
        <v>4521</v>
      </c>
      <c r="AA460" s="449">
        <v>2047</v>
      </c>
      <c r="AB460" s="449">
        <v>0</v>
      </c>
      <c r="AC460" s="450">
        <v>10552</v>
      </c>
      <c r="AD460" s="450">
        <v>2369</v>
      </c>
      <c r="AE460" s="450">
        <v>0</v>
      </c>
      <c r="AF460" s="449"/>
      <c r="AG460" s="450"/>
    </row>
    <row r="461" spans="1:33" s="27" customFormat="1" ht="15" customHeight="1">
      <c r="A461" s="71" t="s">
        <v>486</v>
      </c>
      <c r="B461" s="72" t="s">
        <v>497</v>
      </c>
      <c r="C461" s="134" t="s">
        <v>797</v>
      </c>
      <c r="D461" s="74">
        <v>232681</v>
      </c>
      <c r="E461" s="74">
        <v>3</v>
      </c>
      <c r="F461" s="447">
        <f t="shared" si="32"/>
        <v>122842</v>
      </c>
      <c r="G461" s="448">
        <f t="shared" si="33"/>
        <v>117503.2</v>
      </c>
      <c r="H461" s="449">
        <v>113852</v>
      </c>
      <c r="I461" s="450">
        <v>108363</v>
      </c>
      <c r="J461" s="449">
        <v>0</v>
      </c>
      <c r="K461" s="450">
        <v>0</v>
      </c>
      <c r="L461" s="449">
        <v>8842</v>
      </c>
      <c r="M461" s="449">
        <v>148</v>
      </c>
      <c r="N461" s="449">
        <v>0</v>
      </c>
      <c r="O461" s="450">
        <v>9128.2000000000007</v>
      </c>
      <c r="P461" s="450">
        <v>12</v>
      </c>
      <c r="Q461" s="450">
        <v>0</v>
      </c>
      <c r="R461" s="449"/>
      <c r="S461" s="450"/>
      <c r="T461" s="447">
        <f t="shared" si="34"/>
        <v>5422.4</v>
      </c>
      <c r="U461" s="448">
        <f t="shared" si="35"/>
        <v>5153</v>
      </c>
      <c r="V461" s="449">
        <v>3174.4</v>
      </c>
      <c r="W461" s="450">
        <v>3081.4</v>
      </c>
      <c r="X461" s="449">
        <v>0</v>
      </c>
      <c r="Y461" s="450">
        <v>0</v>
      </c>
      <c r="Z461" s="449">
        <v>2248</v>
      </c>
      <c r="AA461" s="449">
        <v>0</v>
      </c>
      <c r="AB461" s="449">
        <v>0</v>
      </c>
      <c r="AC461" s="450">
        <v>2071.6</v>
      </c>
      <c r="AD461" s="450">
        <v>0</v>
      </c>
      <c r="AE461" s="450">
        <v>0</v>
      </c>
      <c r="AF461" s="449"/>
      <c r="AG461" s="450"/>
    </row>
    <row r="462" spans="1:33" s="27" customFormat="1" ht="15" customHeight="1">
      <c r="A462" s="71" t="s">
        <v>486</v>
      </c>
      <c r="B462" s="72" t="s">
        <v>498</v>
      </c>
      <c r="C462" s="134"/>
      <c r="D462" s="74">
        <v>234155</v>
      </c>
      <c r="E462" s="74">
        <v>3</v>
      </c>
      <c r="F462" s="447">
        <f t="shared" si="32"/>
        <v>122711</v>
      </c>
      <c r="G462" s="448">
        <f t="shared" si="33"/>
        <v>120110</v>
      </c>
      <c r="H462" s="449">
        <v>106760</v>
      </c>
      <c r="I462" s="450">
        <v>104696</v>
      </c>
      <c r="J462" s="449">
        <v>297</v>
      </c>
      <c r="K462" s="450">
        <v>159</v>
      </c>
      <c r="L462" s="449">
        <v>15654</v>
      </c>
      <c r="M462" s="449">
        <v>0</v>
      </c>
      <c r="N462" s="449">
        <v>0</v>
      </c>
      <c r="O462" s="450">
        <v>15255</v>
      </c>
      <c r="P462" s="450">
        <v>0</v>
      </c>
      <c r="Q462" s="450">
        <v>0</v>
      </c>
      <c r="R462" s="449"/>
      <c r="S462" s="450"/>
      <c r="T462" s="447">
        <f t="shared" si="34"/>
        <v>6123</v>
      </c>
      <c r="U462" s="448">
        <f t="shared" si="35"/>
        <v>5840</v>
      </c>
      <c r="V462" s="449">
        <v>5493</v>
      </c>
      <c r="W462" s="450">
        <v>5222</v>
      </c>
      <c r="X462" s="449">
        <v>0</v>
      </c>
      <c r="Y462" s="450">
        <v>0</v>
      </c>
      <c r="Z462" s="449">
        <v>630</v>
      </c>
      <c r="AA462" s="449">
        <v>0</v>
      </c>
      <c r="AB462" s="449">
        <v>0</v>
      </c>
      <c r="AC462" s="450">
        <v>618</v>
      </c>
      <c r="AD462" s="450">
        <v>0</v>
      </c>
      <c r="AE462" s="450">
        <v>0</v>
      </c>
      <c r="AF462" s="449"/>
      <c r="AG462" s="450"/>
    </row>
    <row r="463" spans="1:33" s="27" customFormat="1" ht="15" customHeight="1">
      <c r="A463" s="71" t="s">
        <v>486</v>
      </c>
      <c r="B463" s="72" t="s">
        <v>499</v>
      </c>
      <c r="C463" s="134"/>
      <c r="D463" s="74">
        <v>231712</v>
      </c>
      <c r="E463" s="74">
        <v>5</v>
      </c>
      <c r="F463" s="447">
        <f t="shared" si="32"/>
        <v>141653</v>
      </c>
      <c r="G463" s="448">
        <f t="shared" si="33"/>
        <v>139911</v>
      </c>
      <c r="H463" s="449">
        <v>141111</v>
      </c>
      <c r="I463" s="450">
        <v>139118</v>
      </c>
      <c r="J463" s="449">
        <v>542</v>
      </c>
      <c r="K463" s="450">
        <v>679</v>
      </c>
      <c r="L463" s="449">
        <v>0</v>
      </c>
      <c r="M463" s="449">
        <v>0</v>
      </c>
      <c r="N463" s="449">
        <v>0</v>
      </c>
      <c r="O463" s="450">
        <v>114</v>
      </c>
      <c r="P463" s="450">
        <v>0</v>
      </c>
      <c r="Q463" s="450">
        <v>0</v>
      </c>
      <c r="R463" s="449"/>
      <c r="S463" s="450"/>
      <c r="T463" s="447">
        <f t="shared" si="34"/>
        <v>3022</v>
      </c>
      <c r="U463" s="448">
        <f t="shared" si="35"/>
        <v>2591</v>
      </c>
      <c r="V463" s="449">
        <v>2980</v>
      </c>
      <c r="W463" s="450">
        <v>2591</v>
      </c>
      <c r="X463" s="449">
        <v>42</v>
      </c>
      <c r="Y463" s="450">
        <v>0</v>
      </c>
      <c r="Z463" s="449"/>
      <c r="AA463" s="449"/>
      <c r="AB463" s="449"/>
      <c r="AC463" s="450"/>
      <c r="AD463" s="450"/>
      <c r="AE463" s="450"/>
      <c r="AF463" s="449"/>
      <c r="AG463" s="450"/>
    </row>
    <row r="464" spans="1:33" s="27" customFormat="1" ht="15" customHeight="1">
      <c r="A464" s="71" t="s">
        <v>486</v>
      </c>
      <c r="B464" s="72" t="s">
        <v>500</v>
      </c>
      <c r="C464" s="134"/>
      <c r="D464" s="74">
        <v>233897</v>
      </c>
      <c r="E464" s="74">
        <v>6</v>
      </c>
      <c r="F464" s="447">
        <f t="shared" si="32"/>
        <v>46337</v>
      </c>
      <c r="G464" s="448">
        <f t="shared" si="33"/>
        <v>45800</v>
      </c>
      <c r="H464" s="449">
        <v>34821</v>
      </c>
      <c r="I464" s="450">
        <v>34343</v>
      </c>
      <c r="J464" s="449">
        <v>0</v>
      </c>
      <c r="K464" s="450">
        <v>0</v>
      </c>
      <c r="L464" s="449">
        <v>11516</v>
      </c>
      <c r="M464" s="449">
        <v>0</v>
      </c>
      <c r="N464" s="449">
        <v>0</v>
      </c>
      <c r="O464" s="450">
        <v>11457</v>
      </c>
      <c r="P464" s="450">
        <v>0</v>
      </c>
      <c r="Q464" s="450">
        <v>0</v>
      </c>
      <c r="R464" s="449"/>
      <c r="S464" s="450"/>
      <c r="T464" s="447">
        <f t="shared" si="34"/>
        <v>0</v>
      </c>
      <c r="U464" s="448">
        <f t="shared" si="35"/>
        <v>0</v>
      </c>
      <c r="V464" s="449"/>
      <c r="W464" s="450"/>
      <c r="X464" s="449"/>
      <c r="Y464" s="450"/>
      <c r="Z464" s="449"/>
      <c r="AA464" s="449"/>
      <c r="AB464" s="449"/>
      <c r="AC464" s="450"/>
      <c r="AD464" s="450"/>
      <c r="AE464" s="450"/>
      <c r="AF464" s="449"/>
      <c r="AG464" s="450"/>
    </row>
    <row r="465" spans="1:33" s="27" customFormat="1" ht="15" customHeight="1">
      <c r="A465" s="71" t="s">
        <v>486</v>
      </c>
      <c r="B465" s="72" t="s">
        <v>501</v>
      </c>
      <c r="C465" s="134"/>
      <c r="D465" s="74">
        <v>232414</v>
      </c>
      <c r="E465" s="74">
        <v>8</v>
      </c>
      <c r="F465" s="447">
        <f t="shared" si="32"/>
        <v>168782</v>
      </c>
      <c r="G465" s="448">
        <f t="shared" si="33"/>
        <v>164046</v>
      </c>
      <c r="H465" s="449">
        <v>92423</v>
      </c>
      <c r="I465" s="450">
        <v>81613</v>
      </c>
      <c r="J465" s="449">
        <v>13808</v>
      </c>
      <c r="K465" s="450">
        <v>14993</v>
      </c>
      <c r="L465" s="449">
        <v>62479</v>
      </c>
      <c r="M465" s="449">
        <v>72</v>
      </c>
      <c r="N465" s="449">
        <v>0</v>
      </c>
      <c r="O465" s="450">
        <v>67383</v>
      </c>
      <c r="P465" s="450">
        <v>57</v>
      </c>
      <c r="Q465" s="450">
        <v>0</v>
      </c>
      <c r="R465" s="449"/>
      <c r="S465" s="450"/>
      <c r="T465" s="447">
        <f t="shared" si="34"/>
        <v>0</v>
      </c>
      <c r="U465" s="448">
        <f t="shared" si="35"/>
        <v>0</v>
      </c>
      <c r="V465" s="449"/>
      <c r="W465" s="450"/>
      <c r="X465" s="449"/>
      <c r="Y465" s="450"/>
      <c r="Z465" s="449"/>
      <c r="AA465" s="449"/>
      <c r="AB465" s="449"/>
      <c r="AC465" s="450"/>
      <c r="AD465" s="450"/>
      <c r="AE465" s="450"/>
      <c r="AF465" s="449"/>
      <c r="AG465" s="450"/>
    </row>
    <row r="466" spans="1:33" s="27" customFormat="1" ht="15" customHeight="1">
      <c r="A466" s="71" t="s">
        <v>486</v>
      </c>
      <c r="B466" s="72" t="s">
        <v>502</v>
      </c>
      <c r="C466" s="134"/>
      <c r="D466" s="74">
        <v>232450</v>
      </c>
      <c r="E466" s="74">
        <v>8</v>
      </c>
      <c r="F466" s="447">
        <f t="shared" si="32"/>
        <v>164153</v>
      </c>
      <c r="G466" s="448">
        <f t="shared" si="33"/>
        <v>165336</v>
      </c>
      <c r="H466" s="449">
        <v>84765</v>
      </c>
      <c r="I466" s="450">
        <v>83788</v>
      </c>
      <c r="J466" s="449">
        <v>26618</v>
      </c>
      <c r="K466" s="450">
        <v>25633</v>
      </c>
      <c r="L466" s="449">
        <v>52670</v>
      </c>
      <c r="M466" s="449">
        <v>100</v>
      </c>
      <c r="N466" s="449">
        <v>0</v>
      </c>
      <c r="O466" s="450">
        <v>55915</v>
      </c>
      <c r="P466" s="450">
        <v>0</v>
      </c>
      <c r="Q466" s="450">
        <v>0</v>
      </c>
      <c r="R466" s="449"/>
      <c r="S466" s="450"/>
      <c r="T466" s="447">
        <f t="shared" si="34"/>
        <v>0</v>
      </c>
      <c r="U466" s="448">
        <f t="shared" si="35"/>
        <v>0</v>
      </c>
      <c r="V466" s="449"/>
      <c r="W466" s="450"/>
      <c r="X466" s="449"/>
      <c r="Y466" s="450"/>
      <c r="Z466" s="449"/>
      <c r="AA466" s="449"/>
      <c r="AB466" s="449"/>
      <c r="AC466" s="450"/>
      <c r="AD466" s="450"/>
      <c r="AE466" s="450"/>
      <c r="AF466" s="449"/>
      <c r="AG466" s="450"/>
    </row>
    <row r="467" spans="1:33" s="27" customFormat="1" ht="15" customHeight="1">
      <c r="A467" s="71" t="s">
        <v>486</v>
      </c>
      <c r="B467" s="72" t="s">
        <v>503</v>
      </c>
      <c r="C467" s="134"/>
      <c r="D467" s="74">
        <v>232946</v>
      </c>
      <c r="E467" s="74">
        <v>8</v>
      </c>
      <c r="F467" s="447">
        <f t="shared" si="32"/>
        <v>951259</v>
      </c>
      <c r="G467" s="448">
        <f t="shared" si="33"/>
        <v>942305</v>
      </c>
      <c r="H467" s="449">
        <v>628164</v>
      </c>
      <c r="I467" s="450">
        <v>627431</v>
      </c>
      <c r="J467" s="449">
        <v>97572</v>
      </c>
      <c r="K467" s="450">
        <v>120777</v>
      </c>
      <c r="L467" s="449">
        <v>225169</v>
      </c>
      <c r="M467" s="449">
        <v>354</v>
      </c>
      <c r="N467" s="449">
        <v>0</v>
      </c>
      <c r="O467" s="450">
        <v>193683</v>
      </c>
      <c r="P467" s="450">
        <v>414</v>
      </c>
      <c r="Q467" s="450">
        <v>0</v>
      </c>
      <c r="R467" s="449"/>
      <c r="S467" s="450"/>
      <c r="T467" s="447">
        <f t="shared" si="34"/>
        <v>0</v>
      </c>
      <c r="U467" s="448">
        <f t="shared" si="35"/>
        <v>0</v>
      </c>
      <c r="V467" s="449"/>
      <c r="W467" s="450"/>
      <c r="X467" s="449"/>
      <c r="Y467" s="450"/>
      <c r="Z467" s="449"/>
      <c r="AA467" s="449"/>
      <c r="AB467" s="449"/>
      <c r="AC467" s="450"/>
      <c r="AD467" s="450"/>
      <c r="AE467" s="450"/>
      <c r="AF467" s="449"/>
      <c r="AG467" s="450"/>
    </row>
    <row r="468" spans="1:33" s="27" customFormat="1" ht="15" customHeight="1">
      <c r="A468" s="71" t="s">
        <v>486</v>
      </c>
      <c r="B468" s="72" t="s">
        <v>504</v>
      </c>
      <c r="C468" s="134" t="s">
        <v>808</v>
      </c>
      <c r="D468" s="74">
        <v>233754</v>
      </c>
      <c r="E468" s="74">
        <v>8</v>
      </c>
      <c r="F468" s="447">
        <f t="shared" si="32"/>
        <v>150814</v>
      </c>
      <c r="G468" s="448">
        <f t="shared" si="33"/>
        <v>144941</v>
      </c>
      <c r="H468" s="449">
        <v>82502</v>
      </c>
      <c r="I468" s="450">
        <v>73789</v>
      </c>
      <c r="J468" s="449">
        <v>14295</v>
      </c>
      <c r="K468" s="450">
        <v>15057</v>
      </c>
      <c r="L468" s="449">
        <v>53819</v>
      </c>
      <c r="M468" s="449">
        <v>198</v>
      </c>
      <c r="N468" s="449">
        <v>0</v>
      </c>
      <c r="O468" s="450">
        <v>56020</v>
      </c>
      <c r="P468" s="450">
        <v>75</v>
      </c>
      <c r="Q468" s="450">
        <v>0</v>
      </c>
      <c r="R468" s="449"/>
      <c r="S468" s="450"/>
      <c r="T468" s="447">
        <f t="shared" si="34"/>
        <v>0</v>
      </c>
      <c r="U468" s="448">
        <f t="shared" si="35"/>
        <v>0</v>
      </c>
      <c r="V468" s="449"/>
      <c r="W468" s="450"/>
      <c r="X468" s="449"/>
      <c r="Y468" s="450"/>
      <c r="Z468" s="449"/>
      <c r="AA468" s="449"/>
      <c r="AB468" s="449"/>
      <c r="AC468" s="450"/>
      <c r="AD468" s="450"/>
      <c r="AE468" s="450"/>
      <c r="AF468" s="449"/>
      <c r="AG468" s="450"/>
    </row>
    <row r="469" spans="1:33" s="27" customFormat="1" ht="15" customHeight="1">
      <c r="A469" s="71" t="s">
        <v>486</v>
      </c>
      <c r="B469" s="72" t="s">
        <v>505</v>
      </c>
      <c r="C469" s="134"/>
      <c r="D469" s="74">
        <v>233772</v>
      </c>
      <c r="E469" s="74">
        <v>8</v>
      </c>
      <c r="F469" s="447">
        <f t="shared" si="32"/>
        <v>430782</v>
      </c>
      <c r="G469" s="448">
        <f t="shared" si="33"/>
        <v>403321</v>
      </c>
      <c r="H469" s="449">
        <v>256638</v>
      </c>
      <c r="I469" s="450">
        <v>232146</v>
      </c>
      <c r="J469" s="449">
        <v>29329</v>
      </c>
      <c r="K469" s="450">
        <v>27452</v>
      </c>
      <c r="L469" s="449">
        <v>144740</v>
      </c>
      <c r="M469" s="449">
        <v>75</v>
      </c>
      <c r="N469" s="449">
        <v>0</v>
      </c>
      <c r="O469" s="450">
        <v>143638</v>
      </c>
      <c r="P469" s="450">
        <v>85</v>
      </c>
      <c r="Q469" s="450">
        <v>0</v>
      </c>
      <c r="R469" s="449"/>
      <c r="S469" s="450"/>
      <c r="T469" s="447">
        <f t="shared" si="34"/>
        <v>0</v>
      </c>
      <c r="U469" s="448">
        <f t="shared" si="35"/>
        <v>0</v>
      </c>
      <c r="V469" s="449"/>
      <c r="W469" s="450"/>
      <c r="X469" s="449"/>
      <c r="Y469" s="450"/>
      <c r="Z469" s="449"/>
      <c r="AA469" s="449"/>
      <c r="AB469" s="449"/>
      <c r="AC469" s="450"/>
      <c r="AD469" s="450"/>
      <c r="AE469" s="450"/>
      <c r="AF469" s="449"/>
      <c r="AG469" s="450"/>
    </row>
    <row r="470" spans="1:33" s="27" customFormat="1" ht="15" customHeight="1">
      <c r="A470" s="71" t="s">
        <v>486</v>
      </c>
      <c r="B470" s="72" t="s">
        <v>506</v>
      </c>
      <c r="C470" s="134"/>
      <c r="D470" s="74">
        <v>231536</v>
      </c>
      <c r="E470" s="74">
        <v>9</v>
      </c>
      <c r="F470" s="447">
        <f t="shared" si="32"/>
        <v>71838</v>
      </c>
      <c r="G470" s="448">
        <f t="shared" si="33"/>
        <v>68933</v>
      </c>
      <c r="H470" s="449">
        <v>34159</v>
      </c>
      <c r="I470" s="450">
        <v>31831</v>
      </c>
      <c r="J470" s="449">
        <v>8975</v>
      </c>
      <c r="K470" s="450">
        <v>8154</v>
      </c>
      <c r="L470" s="449">
        <v>28704</v>
      </c>
      <c r="M470" s="449">
        <v>0</v>
      </c>
      <c r="N470" s="449">
        <v>0</v>
      </c>
      <c r="O470" s="450">
        <v>28948</v>
      </c>
      <c r="P470" s="450">
        <v>0</v>
      </c>
      <c r="Q470" s="450">
        <v>0</v>
      </c>
      <c r="R470" s="449"/>
      <c r="S470" s="450"/>
      <c r="T470" s="447">
        <f t="shared" si="34"/>
        <v>0</v>
      </c>
      <c r="U470" s="448">
        <f t="shared" si="35"/>
        <v>0</v>
      </c>
      <c r="V470" s="449"/>
      <c r="W470" s="450"/>
      <c r="X470" s="449"/>
      <c r="Y470" s="450"/>
      <c r="Z470" s="449"/>
      <c r="AA470" s="449"/>
      <c r="AB470" s="449"/>
      <c r="AC470" s="450"/>
      <c r="AD470" s="450"/>
      <c r="AE470" s="450"/>
      <c r="AF470" s="449"/>
      <c r="AG470" s="450"/>
    </row>
    <row r="471" spans="1:33" s="27" customFormat="1" ht="15" customHeight="1">
      <c r="A471" s="71" t="s">
        <v>486</v>
      </c>
      <c r="B471" s="72" t="s">
        <v>507</v>
      </c>
      <c r="C471" s="134"/>
      <c r="D471" s="74">
        <v>231697</v>
      </c>
      <c r="E471" s="74">
        <v>9</v>
      </c>
      <c r="F471" s="447">
        <f t="shared" si="32"/>
        <v>72190</v>
      </c>
      <c r="G471" s="448">
        <f t="shared" si="33"/>
        <v>69284</v>
      </c>
      <c r="H471" s="449">
        <v>37088</v>
      </c>
      <c r="I471" s="450">
        <v>34425</v>
      </c>
      <c r="J471" s="449">
        <v>14862</v>
      </c>
      <c r="K471" s="450">
        <v>15203</v>
      </c>
      <c r="L471" s="449">
        <v>16476</v>
      </c>
      <c r="M471" s="449">
        <v>3764</v>
      </c>
      <c r="N471" s="449">
        <v>0</v>
      </c>
      <c r="O471" s="450">
        <v>16438</v>
      </c>
      <c r="P471" s="450">
        <v>3218</v>
      </c>
      <c r="Q471" s="450">
        <v>0</v>
      </c>
      <c r="R471" s="449"/>
      <c r="S471" s="450"/>
      <c r="T471" s="447">
        <f t="shared" si="34"/>
        <v>0</v>
      </c>
      <c r="U471" s="448">
        <f t="shared" si="35"/>
        <v>0</v>
      </c>
      <c r="V471" s="449"/>
      <c r="W471" s="450"/>
      <c r="X471" s="449"/>
      <c r="Y471" s="450"/>
      <c r="Z471" s="449"/>
      <c r="AA471" s="449"/>
      <c r="AB471" s="449"/>
      <c r="AC471" s="450"/>
      <c r="AD471" s="450"/>
      <c r="AE471" s="450"/>
      <c r="AF471" s="449"/>
      <c r="AG471" s="450"/>
    </row>
    <row r="472" spans="1:33" s="27" customFormat="1" ht="15" customHeight="1">
      <c r="A472" s="71" t="s">
        <v>486</v>
      </c>
      <c r="B472" s="72" t="s">
        <v>509</v>
      </c>
      <c r="C472" s="134"/>
      <c r="D472" s="74">
        <v>232195</v>
      </c>
      <c r="E472" s="74">
        <v>9</v>
      </c>
      <c r="F472" s="447">
        <f t="shared" si="32"/>
        <v>125951</v>
      </c>
      <c r="G472" s="448">
        <f t="shared" si="33"/>
        <v>131140</v>
      </c>
      <c r="H472" s="449">
        <v>61197</v>
      </c>
      <c r="I472" s="450">
        <v>56869</v>
      </c>
      <c r="J472" s="449">
        <v>17743</v>
      </c>
      <c r="K472" s="450">
        <v>22055</v>
      </c>
      <c r="L472" s="449">
        <v>33914</v>
      </c>
      <c r="M472" s="449">
        <v>13097</v>
      </c>
      <c r="N472" s="449">
        <v>0</v>
      </c>
      <c r="O472" s="450">
        <v>37522</v>
      </c>
      <c r="P472" s="450">
        <v>14694</v>
      </c>
      <c r="Q472" s="450">
        <v>0</v>
      </c>
      <c r="R472" s="449"/>
      <c r="S472" s="450"/>
      <c r="T472" s="447">
        <f t="shared" si="34"/>
        <v>0</v>
      </c>
      <c r="U472" s="448">
        <f t="shared" si="35"/>
        <v>0</v>
      </c>
      <c r="V472" s="449"/>
      <c r="W472" s="450"/>
      <c r="X472" s="449"/>
      <c r="Y472" s="450"/>
      <c r="Z472" s="449"/>
      <c r="AA472" s="449"/>
      <c r="AB472" s="449"/>
      <c r="AC472" s="450"/>
      <c r="AD472" s="450"/>
      <c r="AE472" s="450"/>
      <c r="AF472" s="449"/>
      <c r="AG472" s="450"/>
    </row>
    <row r="473" spans="1:33" s="27" customFormat="1" ht="15" customHeight="1">
      <c r="A473" s="71" t="s">
        <v>486</v>
      </c>
      <c r="B473" s="72" t="s">
        <v>510</v>
      </c>
      <c r="C473" s="134"/>
      <c r="D473" s="74">
        <v>232575</v>
      </c>
      <c r="E473" s="74">
        <v>9</v>
      </c>
      <c r="F473" s="447">
        <f t="shared" si="32"/>
        <v>119684</v>
      </c>
      <c r="G473" s="448">
        <f t="shared" si="33"/>
        <v>118340</v>
      </c>
      <c r="H473" s="449">
        <v>40481</v>
      </c>
      <c r="I473" s="450">
        <v>36478</v>
      </c>
      <c r="J473" s="449">
        <v>33538</v>
      </c>
      <c r="K473" s="450">
        <v>33633</v>
      </c>
      <c r="L473" s="449">
        <v>34937</v>
      </c>
      <c r="M473" s="449">
        <v>10728</v>
      </c>
      <c r="N473" s="449">
        <v>0</v>
      </c>
      <c r="O473" s="450">
        <v>36443</v>
      </c>
      <c r="P473" s="450">
        <v>11786</v>
      </c>
      <c r="Q473" s="450">
        <v>0</v>
      </c>
      <c r="R473" s="449"/>
      <c r="S473" s="450"/>
      <c r="T473" s="447">
        <f t="shared" si="34"/>
        <v>0</v>
      </c>
      <c r="U473" s="448">
        <f t="shared" si="35"/>
        <v>0</v>
      </c>
      <c r="V473" s="449"/>
      <c r="W473" s="450"/>
      <c r="X473" s="449"/>
      <c r="Y473" s="450"/>
      <c r="Z473" s="449"/>
      <c r="AA473" s="449"/>
      <c r="AB473" s="449"/>
      <c r="AC473" s="450"/>
      <c r="AD473" s="450"/>
      <c r="AE473" s="450"/>
      <c r="AF473" s="449"/>
      <c r="AG473" s="450"/>
    </row>
    <row r="474" spans="1:33" s="27" customFormat="1" ht="15" customHeight="1">
      <c r="A474" s="71" t="s">
        <v>486</v>
      </c>
      <c r="B474" s="72" t="s">
        <v>511</v>
      </c>
      <c r="C474" s="134"/>
      <c r="D474" s="74">
        <v>232867</v>
      </c>
      <c r="E474" s="74">
        <v>9</v>
      </c>
      <c r="F474" s="447">
        <f t="shared" si="32"/>
        <v>82454</v>
      </c>
      <c r="G474" s="448">
        <f t="shared" si="33"/>
        <v>78876</v>
      </c>
      <c r="H474" s="449">
        <v>18747</v>
      </c>
      <c r="I474" s="450">
        <v>17397</v>
      </c>
      <c r="J474" s="449">
        <v>34371</v>
      </c>
      <c r="K474" s="450">
        <v>31689</v>
      </c>
      <c r="L474" s="449">
        <v>28293</v>
      </c>
      <c r="M474" s="449">
        <v>1043</v>
      </c>
      <c r="N474" s="449">
        <v>0</v>
      </c>
      <c r="O474" s="450">
        <v>29017</v>
      </c>
      <c r="P474" s="450">
        <v>773</v>
      </c>
      <c r="Q474" s="450">
        <v>0</v>
      </c>
      <c r="R474" s="449"/>
      <c r="S474" s="450"/>
      <c r="T474" s="447">
        <f t="shared" si="34"/>
        <v>0</v>
      </c>
      <c r="U474" s="448">
        <f t="shared" si="35"/>
        <v>0</v>
      </c>
      <c r="V474" s="449"/>
      <c r="W474" s="450"/>
      <c r="X474" s="449"/>
      <c r="Y474" s="450"/>
      <c r="Z474" s="449"/>
      <c r="AA474" s="449"/>
      <c r="AB474" s="449"/>
      <c r="AC474" s="450"/>
      <c r="AD474" s="450"/>
      <c r="AE474" s="450"/>
      <c r="AF474" s="449"/>
      <c r="AG474" s="450"/>
    </row>
    <row r="475" spans="1:33" s="27" customFormat="1" ht="15" customHeight="1">
      <c r="A475" s="71" t="s">
        <v>486</v>
      </c>
      <c r="B475" s="72" t="s">
        <v>513</v>
      </c>
      <c r="C475" s="134"/>
      <c r="D475" s="74">
        <v>233116</v>
      </c>
      <c r="E475" s="78">
        <v>9</v>
      </c>
      <c r="F475" s="447">
        <f t="shared" si="32"/>
        <v>87230</v>
      </c>
      <c r="G475" s="448">
        <f t="shared" si="33"/>
        <v>83467</v>
      </c>
      <c r="H475" s="449">
        <v>48202</v>
      </c>
      <c r="I475" s="450">
        <v>43393</v>
      </c>
      <c r="J475" s="449">
        <v>19064</v>
      </c>
      <c r="K475" s="450">
        <v>18474</v>
      </c>
      <c r="L475" s="449">
        <v>19008</v>
      </c>
      <c r="M475" s="449">
        <v>956</v>
      </c>
      <c r="N475" s="449">
        <v>0</v>
      </c>
      <c r="O475" s="450">
        <v>19787</v>
      </c>
      <c r="P475" s="450">
        <v>1813</v>
      </c>
      <c r="Q475" s="450">
        <v>0</v>
      </c>
      <c r="R475" s="449"/>
      <c r="S475" s="450"/>
      <c r="T475" s="447">
        <f t="shared" si="34"/>
        <v>0</v>
      </c>
      <c r="U475" s="448">
        <f t="shared" si="35"/>
        <v>0</v>
      </c>
      <c r="V475" s="449"/>
      <c r="W475" s="450"/>
      <c r="X475" s="449"/>
      <c r="Y475" s="450"/>
      <c r="Z475" s="449"/>
      <c r="AA475" s="449"/>
      <c r="AB475" s="449"/>
      <c r="AC475" s="450"/>
      <c r="AD475" s="450"/>
      <c r="AE475" s="450"/>
      <c r="AF475" s="449"/>
      <c r="AG475" s="450"/>
    </row>
    <row r="476" spans="1:33" s="27" customFormat="1" ht="15" customHeight="1">
      <c r="A476" s="71" t="s">
        <v>486</v>
      </c>
      <c r="B476" s="72" t="s">
        <v>514</v>
      </c>
      <c r="C476" s="134" t="s">
        <v>800</v>
      </c>
      <c r="D476" s="74">
        <v>233639</v>
      </c>
      <c r="E476" s="78">
        <v>9</v>
      </c>
      <c r="F476" s="447">
        <f t="shared" si="32"/>
        <v>62774</v>
      </c>
      <c r="G476" s="448">
        <f t="shared" si="33"/>
        <v>59341</v>
      </c>
      <c r="H476" s="449">
        <v>14222</v>
      </c>
      <c r="I476" s="450">
        <v>12345</v>
      </c>
      <c r="J476" s="449">
        <v>27583</v>
      </c>
      <c r="K476" s="450">
        <v>26066</v>
      </c>
      <c r="L476" s="449">
        <v>19519</v>
      </c>
      <c r="M476" s="449">
        <v>1450</v>
      </c>
      <c r="N476" s="449">
        <v>0</v>
      </c>
      <c r="O476" s="450">
        <v>17907</v>
      </c>
      <c r="P476" s="450">
        <v>3023</v>
      </c>
      <c r="Q476" s="450">
        <v>0</v>
      </c>
      <c r="R476" s="449"/>
      <c r="S476" s="450"/>
      <c r="T476" s="447">
        <f t="shared" si="34"/>
        <v>0</v>
      </c>
      <c r="U476" s="448">
        <f t="shared" si="35"/>
        <v>0</v>
      </c>
      <c r="V476" s="449"/>
      <c r="W476" s="450"/>
      <c r="X476" s="449"/>
      <c r="Y476" s="450"/>
      <c r="Z476" s="449"/>
      <c r="AA476" s="449"/>
      <c r="AB476" s="449"/>
      <c r="AC476" s="450"/>
      <c r="AD476" s="450"/>
      <c r="AE476" s="450"/>
      <c r="AF476" s="449"/>
      <c r="AG476" s="450"/>
    </row>
    <row r="477" spans="1:33" s="27" customFormat="1" ht="15" customHeight="1">
      <c r="A477" s="71" t="s">
        <v>486</v>
      </c>
      <c r="B477" s="72" t="s">
        <v>515</v>
      </c>
      <c r="C477" s="134"/>
      <c r="D477" s="74">
        <v>233949</v>
      </c>
      <c r="E477" s="78">
        <v>9</v>
      </c>
      <c r="F477" s="447">
        <f t="shared" si="32"/>
        <v>114617</v>
      </c>
      <c r="G477" s="448">
        <f t="shared" si="33"/>
        <v>108663</v>
      </c>
      <c r="H477" s="449">
        <v>59489</v>
      </c>
      <c r="I477" s="450">
        <v>54096</v>
      </c>
      <c r="J477" s="449">
        <v>24210</v>
      </c>
      <c r="K477" s="450">
        <v>21139</v>
      </c>
      <c r="L477" s="449">
        <v>23317</v>
      </c>
      <c r="M477" s="449">
        <v>7601</v>
      </c>
      <c r="N477" s="449">
        <v>0</v>
      </c>
      <c r="O477" s="450">
        <v>25261</v>
      </c>
      <c r="P477" s="450">
        <v>8167</v>
      </c>
      <c r="Q477" s="450">
        <v>0</v>
      </c>
      <c r="R477" s="449"/>
      <c r="S477" s="450"/>
      <c r="T477" s="447">
        <f t="shared" si="34"/>
        <v>0</v>
      </c>
      <c r="U477" s="448">
        <f t="shared" si="35"/>
        <v>0</v>
      </c>
      <c r="V477" s="449"/>
      <c r="W477" s="450"/>
      <c r="X477" s="449"/>
      <c r="Y477" s="450"/>
      <c r="Z477" s="449"/>
      <c r="AA477" s="449"/>
      <c r="AB477" s="449"/>
      <c r="AC477" s="450"/>
      <c r="AD477" s="450"/>
      <c r="AE477" s="450"/>
      <c r="AF477" s="449"/>
      <c r="AG477" s="450"/>
    </row>
    <row r="478" spans="1:33" s="27" customFormat="1" ht="15" customHeight="1">
      <c r="A478" s="71" t="s">
        <v>486</v>
      </c>
      <c r="B478" s="72" t="s">
        <v>517</v>
      </c>
      <c r="C478" s="73"/>
      <c r="D478" s="74">
        <v>231873</v>
      </c>
      <c r="E478" s="74">
        <v>10</v>
      </c>
      <c r="F478" s="447">
        <f t="shared" si="32"/>
        <v>19299</v>
      </c>
      <c r="G478" s="448">
        <f t="shared" si="33"/>
        <v>17842</v>
      </c>
      <c r="H478" s="449">
        <v>8127</v>
      </c>
      <c r="I478" s="450">
        <v>7796</v>
      </c>
      <c r="J478" s="449">
        <v>4517</v>
      </c>
      <c r="K478" s="450">
        <v>4452</v>
      </c>
      <c r="L478" s="449">
        <v>4620</v>
      </c>
      <c r="M478" s="449">
        <v>2035</v>
      </c>
      <c r="N478" s="449">
        <v>0</v>
      </c>
      <c r="O478" s="450">
        <v>4054</v>
      </c>
      <c r="P478" s="450">
        <v>1540</v>
      </c>
      <c r="Q478" s="450">
        <v>0</v>
      </c>
      <c r="R478" s="449"/>
      <c r="S478" s="450"/>
      <c r="T478" s="447">
        <f t="shared" si="34"/>
        <v>0</v>
      </c>
      <c r="U478" s="448">
        <f t="shared" si="35"/>
        <v>0</v>
      </c>
      <c r="V478" s="449"/>
      <c r="W478" s="450"/>
      <c r="X478" s="449"/>
      <c r="Y478" s="450"/>
      <c r="Z478" s="449"/>
      <c r="AA478" s="449"/>
      <c r="AB478" s="449"/>
      <c r="AC478" s="450"/>
      <c r="AD478" s="450"/>
      <c r="AE478" s="450"/>
      <c r="AF478" s="449"/>
      <c r="AG478" s="450"/>
    </row>
    <row r="479" spans="1:33" s="27" customFormat="1" ht="15" customHeight="1">
      <c r="A479" s="71" t="s">
        <v>486</v>
      </c>
      <c r="B479" s="72" t="s">
        <v>508</v>
      </c>
      <c r="C479" s="136"/>
      <c r="D479" s="74">
        <v>231882</v>
      </c>
      <c r="E479" s="74">
        <v>10</v>
      </c>
      <c r="F479" s="447">
        <f t="shared" si="32"/>
        <v>52844</v>
      </c>
      <c r="G479" s="448">
        <f t="shared" si="33"/>
        <v>53919</v>
      </c>
      <c r="H479" s="449">
        <v>25954</v>
      </c>
      <c r="I479" s="450">
        <v>28672</v>
      </c>
      <c r="J479" s="449">
        <v>18128</v>
      </c>
      <c r="K479" s="450">
        <v>15567</v>
      </c>
      <c r="L479" s="449">
        <v>8013</v>
      </c>
      <c r="M479" s="449">
        <v>749</v>
      </c>
      <c r="N479" s="449">
        <v>0</v>
      </c>
      <c r="O479" s="450">
        <v>8268</v>
      </c>
      <c r="P479" s="450">
        <v>1412</v>
      </c>
      <c r="Q479" s="450">
        <v>0</v>
      </c>
      <c r="R479" s="449"/>
      <c r="S479" s="450"/>
      <c r="T479" s="447">
        <f t="shared" si="34"/>
        <v>0</v>
      </c>
      <c r="U479" s="448">
        <f t="shared" si="35"/>
        <v>0</v>
      </c>
      <c r="V479" s="449"/>
      <c r="W479" s="450"/>
      <c r="X479" s="449"/>
      <c r="Y479" s="450"/>
      <c r="Z479" s="449"/>
      <c r="AA479" s="449"/>
      <c r="AB479" s="449"/>
      <c r="AC479" s="450"/>
      <c r="AD479" s="450"/>
      <c r="AE479" s="450"/>
      <c r="AF479" s="449"/>
      <c r="AG479" s="450"/>
    </row>
    <row r="480" spans="1:33" s="27" customFormat="1" ht="15" customHeight="1">
      <c r="A480" s="71" t="s">
        <v>486</v>
      </c>
      <c r="B480" s="72" t="s">
        <v>518</v>
      </c>
      <c r="C480" s="73"/>
      <c r="D480" s="74">
        <v>232052</v>
      </c>
      <c r="E480" s="74">
        <v>10</v>
      </c>
      <c r="F480" s="447">
        <f t="shared" si="32"/>
        <v>10868</v>
      </c>
      <c r="G480" s="448">
        <f t="shared" si="33"/>
        <v>10399</v>
      </c>
      <c r="H480" s="449">
        <v>6750</v>
      </c>
      <c r="I480" s="450">
        <v>6162</v>
      </c>
      <c r="J480" s="449">
        <v>2555</v>
      </c>
      <c r="K480" s="450">
        <v>2537</v>
      </c>
      <c r="L480" s="449">
        <v>1563</v>
      </c>
      <c r="M480" s="449">
        <v>0</v>
      </c>
      <c r="N480" s="449">
        <v>0</v>
      </c>
      <c r="O480" s="450">
        <v>1700</v>
      </c>
      <c r="P480" s="450">
        <v>0</v>
      </c>
      <c r="Q480" s="450">
        <v>0</v>
      </c>
      <c r="R480" s="449"/>
      <c r="S480" s="450"/>
      <c r="T480" s="447">
        <f t="shared" si="34"/>
        <v>0</v>
      </c>
      <c r="U480" s="448">
        <f t="shared" si="35"/>
        <v>0</v>
      </c>
      <c r="V480" s="449"/>
      <c r="W480" s="450"/>
      <c r="X480" s="449"/>
      <c r="Y480" s="450"/>
      <c r="Z480" s="449"/>
      <c r="AA480" s="449"/>
      <c r="AB480" s="449"/>
      <c r="AC480" s="450"/>
      <c r="AD480" s="450"/>
      <c r="AE480" s="450"/>
      <c r="AF480" s="449"/>
      <c r="AG480" s="450"/>
    </row>
    <row r="481" spans="1:33" s="27" customFormat="1" ht="15" customHeight="1">
      <c r="A481" s="71" t="s">
        <v>486</v>
      </c>
      <c r="B481" s="72" t="s">
        <v>519</v>
      </c>
      <c r="C481" s="76"/>
      <c r="D481" s="74">
        <v>232788</v>
      </c>
      <c r="E481" s="74">
        <v>10</v>
      </c>
      <c r="F481" s="447">
        <f t="shared" si="32"/>
        <v>46652</v>
      </c>
      <c r="G481" s="448">
        <f t="shared" si="33"/>
        <v>46948</v>
      </c>
      <c r="H481" s="449">
        <v>19234</v>
      </c>
      <c r="I481" s="450">
        <v>18852</v>
      </c>
      <c r="J481" s="449">
        <v>8103</v>
      </c>
      <c r="K481" s="450">
        <v>7015</v>
      </c>
      <c r="L481" s="449">
        <v>16965</v>
      </c>
      <c r="M481" s="449">
        <v>2350</v>
      </c>
      <c r="N481" s="449">
        <v>0</v>
      </c>
      <c r="O481" s="450">
        <v>18888</v>
      </c>
      <c r="P481" s="450">
        <v>2193</v>
      </c>
      <c r="Q481" s="450">
        <v>0</v>
      </c>
      <c r="R481" s="449"/>
      <c r="S481" s="450"/>
      <c r="T481" s="447">
        <f t="shared" si="34"/>
        <v>0</v>
      </c>
      <c r="U481" s="448">
        <f t="shared" si="35"/>
        <v>0</v>
      </c>
      <c r="V481" s="449"/>
      <c r="W481" s="450"/>
      <c r="X481" s="449"/>
      <c r="Y481" s="450"/>
      <c r="Z481" s="449"/>
      <c r="AA481" s="449"/>
      <c r="AB481" s="449"/>
      <c r="AC481" s="450"/>
      <c r="AD481" s="450"/>
      <c r="AE481" s="450"/>
      <c r="AF481" s="449"/>
      <c r="AG481" s="450"/>
    </row>
    <row r="482" spans="1:33" s="27" customFormat="1" ht="15" customHeight="1">
      <c r="A482" s="71" t="s">
        <v>486</v>
      </c>
      <c r="B482" s="135" t="s">
        <v>512</v>
      </c>
      <c r="C482" s="136"/>
      <c r="D482" s="74">
        <v>233019</v>
      </c>
      <c r="E482" s="74">
        <v>10</v>
      </c>
      <c r="F482" s="447">
        <f t="shared" si="32"/>
        <v>49783</v>
      </c>
      <c r="G482" s="448">
        <f t="shared" si="33"/>
        <v>50486</v>
      </c>
      <c r="H482" s="449">
        <v>20291</v>
      </c>
      <c r="I482" s="450">
        <v>21521</v>
      </c>
      <c r="J482" s="449">
        <v>7399</v>
      </c>
      <c r="K482" s="450">
        <v>7299</v>
      </c>
      <c r="L482" s="449">
        <v>19105</v>
      </c>
      <c r="M482" s="449">
        <v>2988</v>
      </c>
      <c r="N482" s="449">
        <v>0</v>
      </c>
      <c r="O482" s="450">
        <v>19741</v>
      </c>
      <c r="P482" s="450">
        <v>1925</v>
      </c>
      <c r="Q482" s="450">
        <v>0</v>
      </c>
      <c r="R482" s="449"/>
      <c r="S482" s="450"/>
      <c r="T482" s="447">
        <f t="shared" si="34"/>
        <v>0</v>
      </c>
      <c r="U482" s="448">
        <f t="shared" si="35"/>
        <v>0</v>
      </c>
      <c r="V482" s="449"/>
      <c r="W482" s="450"/>
      <c r="X482" s="449"/>
      <c r="Y482" s="450"/>
      <c r="Z482" s="449"/>
      <c r="AA482" s="449"/>
      <c r="AB482" s="449"/>
      <c r="AC482" s="450"/>
      <c r="AD482" s="450"/>
      <c r="AE482" s="450"/>
      <c r="AF482" s="449"/>
      <c r="AG482" s="450"/>
    </row>
    <row r="483" spans="1:33" s="27" customFormat="1" ht="15" customHeight="1">
      <c r="A483" s="71" t="s">
        <v>486</v>
      </c>
      <c r="B483" s="72" t="s">
        <v>520</v>
      </c>
      <c r="C483" s="73"/>
      <c r="D483" s="74">
        <v>233037</v>
      </c>
      <c r="E483" s="74">
        <v>10</v>
      </c>
      <c r="F483" s="447">
        <f t="shared" si="32"/>
        <v>23420</v>
      </c>
      <c r="G483" s="448">
        <f t="shared" si="33"/>
        <v>23403</v>
      </c>
      <c r="H483" s="449">
        <v>6843</v>
      </c>
      <c r="I483" s="450">
        <v>5374</v>
      </c>
      <c r="J483" s="449">
        <v>5509</v>
      </c>
      <c r="K483" s="450">
        <v>5201</v>
      </c>
      <c r="L483" s="449">
        <v>10021</v>
      </c>
      <c r="M483" s="449">
        <v>1047</v>
      </c>
      <c r="N483" s="449">
        <v>0</v>
      </c>
      <c r="O483" s="450">
        <v>11669</v>
      </c>
      <c r="P483" s="450">
        <v>1159</v>
      </c>
      <c r="Q483" s="450">
        <v>0</v>
      </c>
      <c r="R483" s="449"/>
      <c r="S483" s="450"/>
      <c r="T483" s="447">
        <f t="shared" si="34"/>
        <v>0</v>
      </c>
      <c r="U483" s="448">
        <f t="shared" si="35"/>
        <v>0</v>
      </c>
      <c r="V483" s="449"/>
      <c r="W483" s="450"/>
      <c r="X483" s="449"/>
      <c r="Y483" s="450"/>
      <c r="Z483" s="449"/>
      <c r="AA483" s="449"/>
      <c r="AB483" s="449"/>
      <c r="AC483" s="450"/>
      <c r="AD483" s="450"/>
      <c r="AE483" s="450"/>
      <c r="AF483" s="449"/>
      <c r="AG483" s="450"/>
    </row>
    <row r="484" spans="1:33" s="27" customFormat="1" ht="15" customHeight="1">
      <c r="A484" s="71" t="s">
        <v>486</v>
      </c>
      <c r="B484" s="72" t="s">
        <v>521</v>
      </c>
      <c r="C484" s="73"/>
      <c r="D484" s="74">
        <v>233310</v>
      </c>
      <c r="E484" s="74">
        <v>10</v>
      </c>
      <c r="F484" s="447">
        <f t="shared" si="32"/>
        <v>53839</v>
      </c>
      <c r="G484" s="448">
        <f t="shared" si="33"/>
        <v>50806</v>
      </c>
      <c r="H484" s="449">
        <v>11078</v>
      </c>
      <c r="I484" s="450">
        <v>9697</v>
      </c>
      <c r="J484" s="449">
        <v>17960</v>
      </c>
      <c r="K484" s="450">
        <v>16478</v>
      </c>
      <c r="L484" s="449">
        <v>15159</v>
      </c>
      <c r="M484" s="449">
        <v>9642</v>
      </c>
      <c r="N484" s="449">
        <v>0</v>
      </c>
      <c r="O484" s="450">
        <v>15190</v>
      </c>
      <c r="P484" s="450">
        <v>9441</v>
      </c>
      <c r="Q484" s="450">
        <v>0</v>
      </c>
      <c r="R484" s="449"/>
      <c r="S484" s="450"/>
      <c r="T484" s="447">
        <f t="shared" si="34"/>
        <v>0</v>
      </c>
      <c r="U484" s="448">
        <f t="shared" si="35"/>
        <v>0</v>
      </c>
      <c r="V484" s="449"/>
      <c r="W484" s="450"/>
      <c r="X484" s="449"/>
      <c r="Y484" s="450"/>
      <c r="Z484" s="449"/>
      <c r="AA484" s="449"/>
      <c r="AB484" s="449"/>
      <c r="AC484" s="450"/>
      <c r="AD484" s="450"/>
      <c r="AE484" s="450"/>
      <c r="AF484" s="449"/>
      <c r="AG484" s="450"/>
    </row>
    <row r="485" spans="1:33" s="27" customFormat="1" ht="15" customHeight="1">
      <c r="A485" s="71" t="s">
        <v>486</v>
      </c>
      <c r="B485" s="72" t="s">
        <v>522</v>
      </c>
      <c r="C485" s="73"/>
      <c r="D485" s="74">
        <v>233338</v>
      </c>
      <c r="E485" s="74">
        <v>10</v>
      </c>
      <c r="F485" s="447">
        <f t="shared" si="32"/>
        <v>37951</v>
      </c>
      <c r="G485" s="448">
        <f t="shared" si="33"/>
        <v>37879</v>
      </c>
      <c r="H485" s="449">
        <v>20650</v>
      </c>
      <c r="I485" s="450">
        <v>20787</v>
      </c>
      <c r="J485" s="449">
        <v>12642</v>
      </c>
      <c r="K485" s="450">
        <v>12065</v>
      </c>
      <c r="L485" s="449">
        <v>4659</v>
      </c>
      <c r="M485" s="449">
        <v>0</v>
      </c>
      <c r="N485" s="449">
        <v>0</v>
      </c>
      <c r="O485" s="450">
        <v>5027</v>
      </c>
      <c r="P485" s="450">
        <v>0</v>
      </c>
      <c r="Q485" s="450">
        <v>0</v>
      </c>
      <c r="R485" s="449"/>
      <c r="S485" s="450"/>
      <c r="T485" s="447">
        <f t="shared" si="34"/>
        <v>0</v>
      </c>
      <c r="U485" s="448">
        <f t="shared" si="35"/>
        <v>0</v>
      </c>
      <c r="V485" s="449"/>
      <c r="W485" s="450"/>
      <c r="X485" s="449"/>
      <c r="Y485" s="450"/>
      <c r="Z485" s="449"/>
      <c r="AA485" s="449"/>
      <c r="AB485" s="449"/>
      <c r="AC485" s="450"/>
      <c r="AD485" s="450"/>
      <c r="AE485" s="450"/>
      <c r="AF485" s="449"/>
      <c r="AG485" s="450"/>
    </row>
    <row r="486" spans="1:33" s="27" customFormat="1" ht="15" customHeight="1">
      <c r="A486" s="71" t="s">
        <v>486</v>
      </c>
      <c r="B486" s="72" t="s">
        <v>523</v>
      </c>
      <c r="C486" s="76"/>
      <c r="D486" s="74">
        <v>233648</v>
      </c>
      <c r="E486" s="74">
        <v>10</v>
      </c>
      <c r="F486" s="447">
        <f t="shared" si="32"/>
        <v>48367</v>
      </c>
      <c r="G486" s="448">
        <f t="shared" si="33"/>
        <v>47553</v>
      </c>
      <c r="H486" s="449">
        <v>15397</v>
      </c>
      <c r="I486" s="450">
        <v>14885</v>
      </c>
      <c r="J486" s="449">
        <v>9153</v>
      </c>
      <c r="K486" s="450">
        <v>8771</v>
      </c>
      <c r="L486" s="449">
        <v>20499</v>
      </c>
      <c r="M486" s="449">
        <v>3318</v>
      </c>
      <c r="N486" s="449">
        <v>0</v>
      </c>
      <c r="O486" s="450">
        <v>21149</v>
      </c>
      <c r="P486" s="450">
        <v>2748</v>
      </c>
      <c r="Q486" s="450">
        <v>0</v>
      </c>
      <c r="R486" s="449"/>
      <c r="S486" s="450"/>
      <c r="T486" s="447">
        <f t="shared" si="34"/>
        <v>0</v>
      </c>
      <c r="U486" s="448">
        <f t="shared" si="35"/>
        <v>0</v>
      </c>
      <c r="V486" s="449"/>
      <c r="W486" s="450"/>
      <c r="X486" s="449"/>
      <c r="Y486" s="450"/>
      <c r="Z486" s="449"/>
      <c r="AA486" s="449"/>
      <c r="AB486" s="449"/>
      <c r="AC486" s="450"/>
      <c r="AD486" s="450"/>
      <c r="AE486" s="450"/>
      <c r="AF486" s="449"/>
      <c r="AG486" s="450"/>
    </row>
    <row r="487" spans="1:33" s="27" customFormat="1" ht="15" customHeight="1">
      <c r="A487" s="71" t="s">
        <v>486</v>
      </c>
      <c r="B487" s="72" t="s">
        <v>524</v>
      </c>
      <c r="C487" s="73"/>
      <c r="D487" s="74">
        <v>233903</v>
      </c>
      <c r="E487" s="74">
        <v>10</v>
      </c>
      <c r="F487" s="447">
        <f t="shared" si="32"/>
        <v>43785</v>
      </c>
      <c r="G487" s="448">
        <f t="shared" si="33"/>
        <v>43893</v>
      </c>
      <c r="H487" s="449">
        <v>16768</v>
      </c>
      <c r="I487" s="450">
        <v>17050</v>
      </c>
      <c r="J487" s="449">
        <v>8530</v>
      </c>
      <c r="K487" s="450">
        <v>7779</v>
      </c>
      <c r="L487" s="449">
        <v>16584</v>
      </c>
      <c r="M487" s="449">
        <v>1903</v>
      </c>
      <c r="N487" s="449">
        <v>0</v>
      </c>
      <c r="O487" s="450">
        <v>17066</v>
      </c>
      <c r="P487" s="450">
        <v>1998</v>
      </c>
      <c r="Q487" s="450">
        <v>0</v>
      </c>
      <c r="R487" s="449"/>
      <c r="S487" s="450"/>
      <c r="T487" s="447">
        <f t="shared" si="34"/>
        <v>0</v>
      </c>
      <c r="U487" s="448">
        <f t="shared" si="35"/>
        <v>0</v>
      </c>
      <c r="V487" s="449"/>
      <c r="W487" s="450"/>
      <c r="X487" s="449"/>
      <c r="Y487" s="450"/>
      <c r="Z487" s="449"/>
      <c r="AA487" s="449"/>
      <c r="AB487" s="449"/>
      <c r="AC487" s="450"/>
      <c r="AD487" s="450"/>
      <c r="AE487" s="450"/>
      <c r="AF487" s="449"/>
      <c r="AG487" s="450"/>
    </row>
    <row r="488" spans="1:33" s="27" customFormat="1" ht="15" customHeight="1">
      <c r="A488" s="71" t="s">
        <v>486</v>
      </c>
      <c r="B488" s="72" t="s">
        <v>516</v>
      </c>
      <c r="C488" s="136"/>
      <c r="D488" s="74">
        <v>234377</v>
      </c>
      <c r="E488" s="74">
        <v>10</v>
      </c>
      <c r="F488" s="447">
        <f t="shared" si="32"/>
        <v>48184</v>
      </c>
      <c r="G488" s="448">
        <f t="shared" si="33"/>
        <v>46714</v>
      </c>
      <c r="H488" s="449">
        <v>7071</v>
      </c>
      <c r="I488" s="450">
        <v>7284</v>
      </c>
      <c r="J488" s="449">
        <v>14536</v>
      </c>
      <c r="K488" s="450">
        <v>13441</v>
      </c>
      <c r="L488" s="449">
        <v>20891</v>
      </c>
      <c r="M488" s="449">
        <v>5686</v>
      </c>
      <c r="N488" s="449">
        <v>0</v>
      </c>
      <c r="O488" s="450">
        <v>22090</v>
      </c>
      <c r="P488" s="450">
        <v>3899</v>
      </c>
      <c r="Q488" s="450">
        <v>0</v>
      </c>
      <c r="R488" s="449"/>
      <c r="S488" s="450"/>
      <c r="T488" s="447">
        <f t="shared" si="34"/>
        <v>0</v>
      </c>
      <c r="U488" s="448">
        <f t="shared" si="35"/>
        <v>0</v>
      </c>
      <c r="V488" s="449"/>
      <c r="W488" s="450"/>
      <c r="X488" s="449"/>
      <c r="Y488" s="450"/>
      <c r="Z488" s="449"/>
      <c r="AA488" s="449"/>
      <c r="AB488" s="449"/>
      <c r="AC488" s="450"/>
      <c r="AD488" s="450"/>
      <c r="AE488" s="450"/>
      <c r="AF488" s="449"/>
      <c r="AG488" s="450"/>
    </row>
    <row r="489" spans="1:33" s="27" customFormat="1" ht="15" customHeight="1">
      <c r="A489" s="112" t="s">
        <v>525</v>
      </c>
      <c r="B489" s="113" t="s">
        <v>526</v>
      </c>
      <c r="C489" s="114"/>
      <c r="D489" s="115">
        <v>238032</v>
      </c>
      <c r="E489" s="115">
        <v>1</v>
      </c>
      <c r="F489" s="447">
        <f t="shared" si="32"/>
        <v>625795</v>
      </c>
      <c r="G489" s="448">
        <f t="shared" si="33"/>
        <v>610650</v>
      </c>
      <c r="H489" s="449">
        <v>549400</v>
      </c>
      <c r="I489" s="450">
        <v>524686</v>
      </c>
      <c r="J489" s="449">
        <v>3326</v>
      </c>
      <c r="K489" s="450">
        <v>5406</v>
      </c>
      <c r="L489" s="449">
        <v>70687</v>
      </c>
      <c r="M489" s="449"/>
      <c r="N489" s="449">
        <v>2382</v>
      </c>
      <c r="O489" s="450">
        <v>78304</v>
      </c>
      <c r="P489" s="450">
        <v>0</v>
      </c>
      <c r="Q489" s="450">
        <v>2254</v>
      </c>
      <c r="R489" s="449"/>
      <c r="S489" s="450"/>
      <c r="T489" s="447">
        <f t="shared" si="34"/>
        <v>86140</v>
      </c>
      <c r="U489" s="448">
        <f t="shared" si="35"/>
        <v>85974</v>
      </c>
      <c r="V489" s="449">
        <v>58056</v>
      </c>
      <c r="W489" s="450">
        <v>58465</v>
      </c>
      <c r="X489" s="449">
        <v>3436</v>
      </c>
      <c r="Y489" s="450">
        <v>2027</v>
      </c>
      <c r="Z489" s="449">
        <v>24048</v>
      </c>
      <c r="AA489" s="449"/>
      <c r="AB489" s="449">
        <v>600</v>
      </c>
      <c r="AC489" s="450">
        <v>24969</v>
      </c>
      <c r="AD489" s="450">
        <v>48</v>
      </c>
      <c r="AE489" s="450">
        <v>465</v>
      </c>
      <c r="AF489" s="449"/>
      <c r="AG489" s="450"/>
    </row>
    <row r="490" spans="1:33" s="27" customFormat="1" ht="15" customHeight="1">
      <c r="A490" s="112" t="s">
        <v>525</v>
      </c>
      <c r="B490" s="113" t="s">
        <v>527</v>
      </c>
      <c r="C490" s="114"/>
      <c r="D490" s="115">
        <v>237525</v>
      </c>
      <c r="E490" s="115">
        <v>3</v>
      </c>
      <c r="F490" s="447">
        <f t="shared" si="32"/>
        <v>256593</v>
      </c>
      <c r="G490" s="448">
        <f t="shared" si="33"/>
        <v>246456</v>
      </c>
      <c r="H490" s="449">
        <v>186088</v>
      </c>
      <c r="I490" s="450">
        <v>174670</v>
      </c>
      <c r="J490" s="449">
        <v>25065</v>
      </c>
      <c r="K490" s="450">
        <v>24017</v>
      </c>
      <c r="L490" s="449">
        <v>41763</v>
      </c>
      <c r="M490" s="449">
        <v>3677</v>
      </c>
      <c r="N490" s="449"/>
      <c r="O490" s="450">
        <v>44014</v>
      </c>
      <c r="P490" s="450">
        <v>3755</v>
      </c>
      <c r="Q490" s="450"/>
      <c r="R490" s="449"/>
      <c r="S490" s="450"/>
      <c r="T490" s="447">
        <f t="shared" si="34"/>
        <v>67756</v>
      </c>
      <c r="U490" s="448">
        <f t="shared" si="35"/>
        <v>64539</v>
      </c>
      <c r="V490" s="449">
        <v>35104</v>
      </c>
      <c r="W490" s="450">
        <v>31678</v>
      </c>
      <c r="X490" s="449">
        <v>10880</v>
      </c>
      <c r="Y490" s="450">
        <v>11651</v>
      </c>
      <c r="Z490" s="449">
        <v>21047</v>
      </c>
      <c r="AA490" s="449">
        <v>725</v>
      </c>
      <c r="AB490" s="449"/>
      <c r="AC490" s="450">
        <v>20309</v>
      </c>
      <c r="AD490" s="450">
        <v>901</v>
      </c>
      <c r="AE490" s="450"/>
      <c r="AF490" s="449"/>
      <c r="AG490" s="450"/>
    </row>
    <row r="491" spans="1:33" s="27" customFormat="1" ht="15" customHeight="1">
      <c r="A491" s="112" t="s">
        <v>525</v>
      </c>
      <c r="B491" s="113" t="s">
        <v>531</v>
      </c>
      <c r="C491" s="138"/>
      <c r="D491" s="115">
        <v>237330</v>
      </c>
      <c r="E491" s="137">
        <v>5</v>
      </c>
      <c r="F491" s="447">
        <f t="shared" si="32"/>
        <v>51204</v>
      </c>
      <c r="G491" s="448">
        <f t="shared" si="33"/>
        <v>46415</v>
      </c>
      <c r="H491" s="449">
        <v>33786</v>
      </c>
      <c r="I491" s="450">
        <v>30642</v>
      </c>
      <c r="J491" s="449">
        <v>4350</v>
      </c>
      <c r="K491" s="450">
        <v>3407</v>
      </c>
      <c r="L491" s="449">
        <v>12063</v>
      </c>
      <c r="M491" s="449">
        <v>1005</v>
      </c>
      <c r="N491" s="449"/>
      <c r="O491" s="450">
        <v>11004</v>
      </c>
      <c r="P491" s="450">
        <v>1356</v>
      </c>
      <c r="Q491" s="450">
        <v>6</v>
      </c>
      <c r="R491" s="449"/>
      <c r="S491" s="450"/>
      <c r="T491" s="447">
        <f t="shared" si="34"/>
        <v>6120</v>
      </c>
      <c r="U491" s="448">
        <f t="shared" si="35"/>
        <v>6600</v>
      </c>
      <c r="V491" s="449">
        <v>387</v>
      </c>
      <c r="W491" s="450">
        <v>306</v>
      </c>
      <c r="X491" s="449"/>
      <c r="Y491" s="450"/>
      <c r="Z491" s="449">
        <v>5733</v>
      </c>
      <c r="AA491" s="449"/>
      <c r="AB491" s="449"/>
      <c r="AC491" s="450">
        <v>6294</v>
      </c>
      <c r="AD491" s="450"/>
      <c r="AE491" s="450"/>
      <c r="AF491" s="449"/>
      <c r="AG491" s="450"/>
    </row>
    <row r="492" spans="1:33" s="27" customFormat="1" ht="15" customHeight="1">
      <c r="A492" s="112" t="s">
        <v>525</v>
      </c>
      <c r="B492" s="113" t="s">
        <v>528</v>
      </c>
      <c r="C492" s="114"/>
      <c r="D492" s="115">
        <v>237367</v>
      </c>
      <c r="E492" s="115">
        <v>5</v>
      </c>
      <c r="F492" s="447">
        <f t="shared" si="32"/>
        <v>99986</v>
      </c>
      <c r="G492" s="448">
        <f t="shared" si="33"/>
        <v>96814</v>
      </c>
      <c r="H492" s="449">
        <v>75601</v>
      </c>
      <c r="I492" s="450">
        <v>71061</v>
      </c>
      <c r="J492" s="449">
        <v>1945</v>
      </c>
      <c r="K492" s="450">
        <v>1189</v>
      </c>
      <c r="L492" s="449">
        <v>22440</v>
      </c>
      <c r="M492" s="449"/>
      <c r="N492" s="449"/>
      <c r="O492" s="450">
        <v>24564</v>
      </c>
      <c r="P492" s="450">
        <v>0</v>
      </c>
      <c r="Q492" s="450"/>
      <c r="R492" s="449"/>
      <c r="S492" s="450"/>
      <c r="T492" s="447">
        <f t="shared" si="34"/>
        <v>4142</v>
      </c>
      <c r="U492" s="448">
        <f t="shared" si="35"/>
        <v>3623</v>
      </c>
      <c r="V492" s="449">
        <v>1170</v>
      </c>
      <c r="W492" s="450">
        <v>796</v>
      </c>
      <c r="X492" s="449"/>
      <c r="Y492" s="450">
        <v>3</v>
      </c>
      <c r="Z492" s="449">
        <v>2972</v>
      </c>
      <c r="AA492" s="449"/>
      <c r="AB492" s="449"/>
      <c r="AC492" s="450">
        <v>2824</v>
      </c>
      <c r="AD492" s="450"/>
      <c r="AE492" s="450"/>
      <c r="AF492" s="449"/>
      <c r="AG492" s="450"/>
    </row>
    <row r="493" spans="1:33" s="27" customFormat="1" ht="15" customHeight="1">
      <c r="A493" s="112" t="s">
        <v>525</v>
      </c>
      <c r="B493" s="113" t="s">
        <v>529</v>
      </c>
      <c r="C493" s="114"/>
      <c r="D493" s="115">
        <v>237792</v>
      </c>
      <c r="E493" s="137">
        <v>5</v>
      </c>
      <c r="F493" s="447">
        <f t="shared" si="32"/>
        <v>84143</v>
      </c>
      <c r="G493" s="448">
        <f t="shared" si="33"/>
        <v>80901</v>
      </c>
      <c r="H493" s="449">
        <v>74856</v>
      </c>
      <c r="I493" s="450">
        <v>69269</v>
      </c>
      <c r="J493" s="449">
        <v>0</v>
      </c>
      <c r="K493" s="450">
        <v>0</v>
      </c>
      <c r="L493" s="449">
        <v>9287</v>
      </c>
      <c r="M493" s="449"/>
      <c r="N493" s="449"/>
      <c r="O493" s="450">
        <v>11632</v>
      </c>
      <c r="P493" s="450">
        <v>0</v>
      </c>
      <c r="Q493" s="450"/>
      <c r="R493" s="449"/>
      <c r="S493" s="450"/>
      <c r="T493" s="447">
        <f t="shared" si="34"/>
        <v>6246</v>
      </c>
      <c r="U493" s="448">
        <f t="shared" si="35"/>
        <v>6735</v>
      </c>
      <c r="V493" s="449">
        <v>4960</v>
      </c>
      <c r="W493" s="450">
        <v>5115</v>
      </c>
      <c r="X493" s="449"/>
      <c r="Y493" s="450"/>
      <c r="Z493" s="449">
        <v>1274</v>
      </c>
      <c r="AA493" s="449">
        <v>12</v>
      </c>
      <c r="AB493" s="449"/>
      <c r="AC493" s="450">
        <v>1620</v>
      </c>
      <c r="AD493" s="450"/>
      <c r="AE493" s="450"/>
      <c r="AF493" s="449"/>
      <c r="AG493" s="450"/>
    </row>
    <row r="494" spans="1:33" s="27" customFormat="1" ht="15" customHeight="1">
      <c r="A494" s="112" t="s">
        <v>525</v>
      </c>
      <c r="B494" s="113" t="s">
        <v>533</v>
      </c>
      <c r="C494" s="114" t="s">
        <v>806</v>
      </c>
      <c r="D494" s="115">
        <v>237932</v>
      </c>
      <c r="E494" s="137">
        <v>5</v>
      </c>
      <c r="F494" s="447">
        <f t="shared" si="32"/>
        <v>61815</v>
      </c>
      <c r="G494" s="448">
        <f t="shared" si="33"/>
        <v>61346</v>
      </c>
      <c r="H494" s="449">
        <v>54298</v>
      </c>
      <c r="I494" s="450">
        <v>52862</v>
      </c>
      <c r="J494" s="449">
        <v>2373</v>
      </c>
      <c r="K494" s="450">
        <v>2245</v>
      </c>
      <c r="L494" s="449">
        <v>5144</v>
      </c>
      <c r="M494" s="449"/>
      <c r="N494" s="449"/>
      <c r="O494" s="450">
        <v>6239</v>
      </c>
      <c r="P494" s="450">
        <v>0</v>
      </c>
      <c r="Q494" s="450"/>
      <c r="R494" s="449"/>
      <c r="S494" s="450"/>
      <c r="T494" s="447">
        <f t="shared" si="34"/>
        <v>5790</v>
      </c>
      <c r="U494" s="448">
        <f t="shared" si="35"/>
        <v>6131</v>
      </c>
      <c r="V494" s="449">
        <v>2568</v>
      </c>
      <c r="W494" s="450">
        <v>2853</v>
      </c>
      <c r="X494" s="449">
        <v>1224</v>
      </c>
      <c r="Y494" s="450">
        <v>789</v>
      </c>
      <c r="Z494" s="449">
        <v>1998</v>
      </c>
      <c r="AA494" s="449"/>
      <c r="AB494" s="449"/>
      <c r="AC494" s="450">
        <v>2489</v>
      </c>
      <c r="AD494" s="450"/>
      <c r="AE494" s="450"/>
      <c r="AF494" s="449"/>
      <c r="AG494" s="450"/>
    </row>
    <row r="495" spans="1:33" s="27" customFormat="1" ht="15" customHeight="1">
      <c r="A495" s="112" t="s">
        <v>525</v>
      </c>
      <c r="B495" s="113" t="s">
        <v>530</v>
      </c>
      <c r="C495" s="114"/>
      <c r="D495" s="115">
        <v>237215</v>
      </c>
      <c r="E495" s="115">
        <v>6</v>
      </c>
      <c r="F495" s="447">
        <f t="shared" si="32"/>
        <v>34315</v>
      </c>
      <c r="G495" s="448">
        <f t="shared" si="33"/>
        <v>32684</v>
      </c>
      <c r="H495" s="449">
        <v>14628</v>
      </c>
      <c r="I495" s="450">
        <v>13094</v>
      </c>
      <c r="J495" s="449">
        <v>2754</v>
      </c>
      <c r="K495" s="450">
        <v>3031</v>
      </c>
      <c r="L495" s="449">
        <v>16103</v>
      </c>
      <c r="M495" s="449">
        <v>830</v>
      </c>
      <c r="N495" s="449"/>
      <c r="O495" s="450">
        <v>16436</v>
      </c>
      <c r="P495" s="450">
        <v>123</v>
      </c>
      <c r="Q495" s="450"/>
      <c r="R495" s="449"/>
      <c r="S495" s="450"/>
      <c r="T495" s="447">
        <f t="shared" si="34"/>
        <v>0</v>
      </c>
      <c r="U495" s="448">
        <f t="shared" si="35"/>
        <v>0</v>
      </c>
      <c r="V495" s="449"/>
      <c r="W495" s="450"/>
      <c r="X495" s="449"/>
      <c r="Y495" s="450"/>
      <c r="Z495" s="449"/>
      <c r="AA495" s="449"/>
      <c r="AB495" s="449"/>
      <c r="AC495" s="450"/>
      <c r="AD495" s="450"/>
      <c r="AE495" s="450"/>
      <c r="AF495" s="449"/>
      <c r="AG495" s="450"/>
    </row>
    <row r="496" spans="1:33" s="27" customFormat="1" ht="15" customHeight="1">
      <c r="A496" s="112" t="s">
        <v>525</v>
      </c>
      <c r="B496" s="113" t="s">
        <v>532</v>
      </c>
      <c r="C496" s="139"/>
      <c r="D496" s="115">
        <v>237385</v>
      </c>
      <c r="E496" s="137">
        <v>6</v>
      </c>
      <c r="F496" s="447">
        <f t="shared" si="32"/>
        <v>34874</v>
      </c>
      <c r="G496" s="448">
        <f t="shared" si="33"/>
        <v>35068</v>
      </c>
      <c r="H496" s="449">
        <v>24503</v>
      </c>
      <c r="I496" s="450">
        <v>21852</v>
      </c>
      <c r="J496" s="449">
        <v>4681</v>
      </c>
      <c r="K496" s="450">
        <v>6230</v>
      </c>
      <c r="L496" s="449">
        <v>5690</v>
      </c>
      <c r="M496" s="449"/>
      <c r="N496" s="449"/>
      <c r="O496" s="450">
        <v>6986</v>
      </c>
      <c r="P496" s="450">
        <v>0</v>
      </c>
      <c r="Q496" s="450"/>
      <c r="R496" s="449"/>
      <c r="S496" s="450"/>
      <c r="T496" s="447">
        <f t="shared" si="34"/>
        <v>0</v>
      </c>
      <c r="U496" s="448">
        <f t="shared" si="35"/>
        <v>0</v>
      </c>
      <c r="V496" s="449"/>
      <c r="W496" s="450"/>
      <c r="X496" s="449"/>
      <c r="Y496" s="450"/>
      <c r="Z496" s="449"/>
      <c r="AA496" s="449"/>
      <c r="AB496" s="449"/>
      <c r="AC496" s="450"/>
      <c r="AD496" s="450"/>
      <c r="AE496" s="450"/>
      <c r="AF496" s="449"/>
      <c r="AG496" s="450"/>
    </row>
    <row r="497" spans="1:33" s="27" customFormat="1" ht="15" customHeight="1">
      <c r="A497" s="112" t="s">
        <v>525</v>
      </c>
      <c r="B497" s="113" t="s">
        <v>534</v>
      </c>
      <c r="C497" s="114" t="s">
        <v>806</v>
      </c>
      <c r="D497" s="115">
        <v>237899</v>
      </c>
      <c r="E497" s="137">
        <v>6</v>
      </c>
      <c r="F497" s="447">
        <f t="shared" si="32"/>
        <v>68814</v>
      </c>
      <c r="G497" s="448">
        <f t="shared" si="33"/>
        <v>69562</v>
      </c>
      <c r="H497" s="449">
        <v>34848</v>
      </c>
      <c r="I497" s="450">
        <v>31093</v>
      </c>
      <c r="J497" s="449">
        <v>14500</v>
      </c>
      <c r="K497" s="450">
        <v>18617</v>
      </c>
      <c r="L497" s="449">
        <v>19466</v>
      </c>
      <c r="M497" s="449"/>
      <c r="N497" s="449"/>
      <c r="O497" s="450">
        <v>19852</v>
      </c>
      <c r="P497" s="450">
        <v>0</v>
      </c>
      <c r="Q497" s="450"/>
      <c r="R497" s="449"/>
      <c r="S497" s="450"/>
      <c r="T497" s="447">
        <f t="shared" si="34"/>
        <v>2304</v>
      </c>
      <c r="U497" s="448">
        <f t="shared" si="35"/>
        <v>2419</v>
      </c>
      <c r="V497" s="449">
        <v>1635</v>
      </c>
      <c r="W497" s="450">
        <v>1789</v>
      </c>
      <c r="X497" s="449">
        <v>3</v>
      </c>
      <c r="Y497" s="450">
        <v>3</v>
      </c>
      <c r="Z497" s="449">
        <v>666</v>
      </c>
      <c r="AA497" s="449"/>
      <c r="AB497" s="449"/>
      <c r="AC497" s="450">
        <v>627</v>
      </c>
      <c r="AD497" s="450"/>
      <c r="AE497" s="450"/>
      <c r="AF497" s="449"/>
      <c r="AG497" s="450"/>
    </row>
    <row r="498" spans="1:33" s="27" customFormat="1" ht="15" customHeight="1">
      <c r="A498" s="112" t="s">
        <v>525</v>
      </c>
      <c r="B498" s="113" t="s">
        <v>536</v>
      </c>
      <c r="C498" s="114"/>
      <c r="D498" s="115">
        <v>237950</v>
      </c>
      <c r="E498" s="137">
        <v>6</v>
      </c>
      <c r="F498" s="447">
        <f t="shared" si="32"/>
        <v>39491</v>
      </c>
      <c r="G498" s="448">
        <f t="shared" si="33"/>
        <v>40412</v>
      </c>
      <c r="H498" s="449">
        <v>31605</v>
      </c>
      <c r="I498" s="450">
        <v>31646</v>
      </c>
      <c r="J498" s="449">
        <v>132</v>
      </c>
      <c r="K498" s="450">
        <v>282</v>
      </c>
      <c r="L498" s="449">
        <v>7754</v>
      </c>
      <c r="M498" s="449"/>
      <c r="N498" s="449"/>
      <c r="O498" s="450">
        <v>8482</v>
      </c>
      <c r="P498" s="450">
        <v>0</v>
      </c>
      <c r="Q498" s="450">
        <v>2</v>
      </c>
      <c r="R498" s="449"/>
      <c r="S498" s="450"/>
      <c r="T498" s="447">
        <f t="shared" si="34"/>
        <v>0</v>
      </c>
      <c r="U498" s="448">
        <f t="shared" si="35"/>
        <v>0</v>
      </c>
      <c r="V498" s="449"/>
      <c r="W498" s="450"/>
      <c r="X498" s="449"/>
      <c r="Y498" s="450"/>
      <c r="Z498" s="449"/>
      <c r="AA498" s="449"/>
      <c r="AB498" s="449"/>
      <c r="AC498" s="450"/>
      <c r="AD498" s="450"/>
      <c r="AE498" s="450"/>
      <c r="AF498" s="449"/>
      <c r="AG498" s="450"/>
    </row>
    <row r="499" spans="1:33" s="27" customFormat="1" ht="15" customHeight="1">
      <c r="A499" s="112" t="s">
        <v>525</v>
      </c>
      <c r="B499" s="140" t="s">
        <v>537</v>
      </c>
      <c r="C499" s="141"/>
      <c r="D499" s="115">
        <v>237701</v>
      </c>
      <c r="E499" s="137">
        <v>7</v>
      </c>
      <c r="F499" s="447">
        <f t="shared" si="32"/>
        <v>33294</v>
      </c>
      <c r="G499" s="448">
        <f t="shared" si="33"/>
        <v>32548</v>
      </c>
      <c r="H499" s="449">
        <v>27656</v>
      </c>
      <c r="I499" s="450">
        <v>26067</v>
      </c>
      <c r="J499" s="449">
        <v>1878</v>
      </c>
      <c r="K499" s="450">
        <v>2063</v>
      </c>
      <c r="L499" s="449">
        <v>3758</v>
      </c>
      <c r="M499" s="449"/>
      <c r="N499" s="449">
        <v>2</v>
      </c>
      <c r="O499" s="450">
        <v>4402</v>
      </c>
      <c r="P499" s="450">
        <v>0</v>
      </c>
      <c r="Q499" s="450">
        <v>16</v>
      </c>
      <c r="R499" s="449"/>
      <c r="S499" s="450"/>
      <c r="T499" s="447">
        <f t="shared" si="34"/>
        <v>0</v>
      </c>
      <c r="U499" s="448">
        <f t="shared" si="35"/>
        <v>0</v>
      </c>
      <c r="V499" s="449"/>
      <c r="W499" s="450"/>
      <c r="X499" s="449"/>
      <c r="Y499" s="450"/>
      <c r="Z499" s="449"/>
      <c r="AA499" s="449"/>
      <c r="AB499" s="449"/>
      <c r="AC499" s="450"/>
      <c r="AD499" s="450"/>
      <c r="AE499" s="450"/>
      <c r="AF499" s="449"/>
      <c r="AG499" s="450"/>
    </row>
    <row r="500" spans="1:33" s="27" customFormat="1" ht="15" customHeight="1">
      <c r="A500" s="112" t="s">
        <v>525</v>
      </c>
      <c r="B500" s="113" t="s">
        <v>535</v>
      </c>
      <c r="C500" s="141"/>
      <c r="D500" s="115">
        <v>237686</v>
      </c>
      <c r="E500" s="137">
        <v>7</v>
      </c>
      <c r="F500" s="447">
        <f t="shared" si="32"/>
        <v>53842</v>
      </c>
      <c r="G500" s="448">
        <f t="shared" si="33"/>
        <v>53924</v>
      </c>
      <c r="H500" s="449">
        <v>25873</v>
      </c>
      <c r="I500" s="450">
        <v>22376</v>
      </c>
      <c r="J500" s="449">
        <v>4021</v>
      </c>
      <c r="K500" s="450">
        <v>4162</v>
      </c>
      <c r="L500" s="449">
        <v>23948</v>
      </c>
      <c r="M500" s="449"/>
      <c r="N500" s="449"/>
      <c r="O500" s="450">
        <v>27386</v>
      </c>
      <c r="P500" s="450">
        <v>0</v>
      </c>
      <c r="Q500" s="450"/>
      <c r="R500" s="449"/>
      <c r="S500" s="450"/>
      <c r="T500" s="447">
        <f t="shared" si="34"/>
        <v>0</v>
      </c>
      <c r="U500" s="448">
        <f t="shared" si="35"/>
        <v>0</v>
      </c>
      <c r="V500" s="449"/>
      <c r="W500" s="450"/>
      <c r="X500" s="449"/>
      <c r="Y500" s="450"/>
      <c r="Z500" s="449"/>
      <c r="AA500" s="449"/>
      <c r="AB500" s="449"/>
      <c r="AC500" s="450"/>
      <c r="AD500" s="450"/>
      <c r="AE500" s="450"/>
      <c r="AF500" s="449"/>
      <c r="AG500" s="450"/>
    </row>
    <row r="501" spans="1:33" s="27" customFormat="1" ht="15" customHeight="1">
      <c r="A501" s="112" t="s">
        <v>525</v>
      </c>
      <c r="B501" s="113" t="s">
        <v>540</v>
      </c>
      <c r="C501" s="116" t="s">
        <v>812</v>
      </c>
      <c r="D501" s="115">
        <v>446774</v>
      </c>
      <c r="E501" s="475">
        <v>9</v>
      </c>
      <c r="F501" s="447">
        <f t="shared" si="32"/>
        <v>65524</v>
      </c>
      <c r="G501" s="448">
        <f t="shared" si="33"/>
        <v>65355</v>
      </c>
      <c r="H501" s="449">
        <v>40714</v>
      </c>
      <c r="I501" s="450">
        <v>41487</v>
      </c>
      <c r="J501" s="449">
        <v>9418</v>
      </c>
      <c r="K501" s="450">
        <v>8876</v>
      </c>
      <c r="L501" s="449">
        <v>15392</v>
      </c>
      <c r="M501" s="449"/>
      <c r="N501" s="449"/>
      <c r="O501" s="450">
        <v>14992</v>
      </c>
      <c r="P501" s="450">
        <v>0</v>
      </c>
      <c r="Q501" s="450"/>
      <c r="R501" s="449"/>
      <c r="S501" s="450"/>
      <c r="T501" s="447">
        <f t="shared" si="34"/>
        <v>0</v>
      </c>
      <c r="U501" s="448">
        <f t="shared" si="35"/>
        <v>0</v>
      </c>
      <c r="V501" s="449"/>
      <c r="W501" s="450"/>
      <c r="X501" s="449"/>
      <c r="Y501" s="450"/>
      <c r="Z501" s="449"/>
      <c r="AA501" s="449"/>
      <c r="AB501" s="449"/>
      <c r="AC501" s="450"/>
      <c r="AD501" s="450"/>
      <c r="AE501" s="450"/>
      <c r="AF501" s="449"/>
      <c r="AG501" s="450"/>
    </row>
    <row r="502" spans="1:33" s="27" customFormat="1" ht="15" customHeight="1">
      <c r="A502" s="112" t="s">
        <v>525</v>
      </c>
      <c r="B502" s="142" t="s">
        <v>541</v>
      </c>
      <c r="C502" s="114"/>
      <c r="D502" s="143">
        <v>484932</v>
      </c>
      <c r="E502" s="137">
        <v>10</v>
      </c>
      <c r="F502" s="447">
        <f t="shared" si="32"/>
        <v>38379</v>
      </c>
      <c r="G502" s="448">
        <f t="shared" si="33"/>
        <v>37751</v>
      </c>
      <c r="H502" s="449">
        <v>30012</v>
      </c>
      <c r="I502" s="450">
        <v>28246</v>
      </c>
      <c r="J502" s="449">
        <v>102</v>
      </c>
      <c r="K502" s="450">
        <v>21</v>
      </c>
      <c r="L502" s="449">
        <v>8265</v>
      </c>
      <c r="M502" s="449"/>
      <c r="N502" s="449"/>
      <c r="O502" s="450">
        <v>9484</v>
      </c>
      <c r="P502" s="450">
        <v>0</v>
      </c>
      <c r="Q502" s="450"/>
      <c r="R502" s="449"/>
      <c r="S502" s="450"/>
      <c r="T502" s="447">
        <f t="shared" si="34"/>
        <v>0</v>
      </c>
      <c r="U502" s="448">
        <f t="shared" si="35"/>
        <v>0</v>
      </c>
      <c r="V502" s="449"/>
      <c r="W502" s="450"/>
      <c r="X502" s="449"/>
      <c r="Y502" s="450"/>
      <c r="Z502" s="449"/>
      <c r="AA502" s="449"/>
      <c r="AB502" s="449"/>
      <c r="AC502" s="450"/>
      <c r="AD502" s="450"/>
      <c r="AE502" s="450"/>
      <c r="AF502" s="449"/>
      <c r="AG502" s="450"/>
    </row>
    <row r="503" spans="1:33" s="27" customFormat="1" ht="15" customHeight="1">
      <c r="A503" s="112" t="s">
        <v>525</v>
      </c>
      <c r="B503" s="113" t="s">
        <v>542</v>
      </c>
      <c r="C503" s="114"/>
      <c r="D503" s="115">
        <v>438708</v>
      </c>
      <c r="E503" s="137">
        <v>10</v>
      </c>
      <c r="F503" s="447">
        <f t="shared" si="32"/>
        <v>7858</v>
      </c>
      <c r="G503" s="448">
        <f t="shared" si="33"/>
        <v>7607</v>
      </c>
      <c r="H503" s="449">
        <v>3611</v>
      </c>
      <c r="I503" s="450">
        <v>3541</v>
      </c>
      <c r="J503" s="449">
        <v>1733</v>
      </c>
      <c r="K503" s="450">
        <v>1840</v>
      </c>
      <c r="L503" s="449">
        <v>2514</v>
      </c>
      <c r="M503" s="449"/>
      <c r="N503" s="449"/>
      <c r="O503" s="450">
        <v>2226</v>
      </c>
      <c r="P503" s="450">
        <v>0</v>
      </c>
      <c r="Q503" s="450"/>
      <c r="R503" s="449"/>
      <c r="S503" s="450"/>
      <c r="T503" s="447">
        <f t="shared" si="34"/>
        <v>0</v>
      </c>
      <c r="U503" s="448">
        <f t="shared" si="35"/>
        <v>0</v>
      </c>
      <c r="V503" s="449"/>
      <c r="W503" s="450"/>
      <c r="X503" s="449"/>
      <c r="Y503" s="450"/>
      <c r="Z503" s="449"/>
      <c r="AA503" s="449"/>
      <c r="AB503" s="449"/>
      <c r="AC503" s="450"/>
      <c r="AD503" s="450"/>
      <c r="AE503" s="450"/>
      <c r="AF503" s="449"/>
      <c r="AG503" s="450"/>
    </row>
    <row r="504" spans="1:33" s="27" customFormat="1" ht="15" customHeight="1">
      <c r="A504" s="112" t="s">
        <v>525</v>
      </c>
      <c r="B504" s="113" t="s">
        <v>543</v>
      </c>
      <c r="C504" s="114"/>
      <c r="D504" s="115">
        <v>444954</v>
      </c>
      <c r="E504" s="137">
        <v>10</v>
      </c>
      <c r="F504" s="447">
        <f t="shared" si="32"/>
        <v>40378</v>
      </c>
      <c r="G504" s="448">
        <f t="shared" si="33"/>
        <v>41061</v>
      </c>
      <c r="H504" s="449">
        <v>23110</v>
      </c>
      <c r="I504" s="450">
        <v>23816</v>
      </c>
      <c r="J504" s="449">
        <v>5174</v>
      </c>
      <c r="K504" s="450">
        <v>5940</v>
      </c>
      <c r="L504" s="449">
        <v>12094</v>
      </c>
      <c r="M504" s="449"/>
      <c r="N504" s="449"/>
      <c r="O504" s="450">
        <v>11305</v>
      </c>
      <c r="P504" s="450">
        <v>0</v>
      </c>
      <c r="Q504" s="450"/>
      <c r="R504" s="449"/>
      <c r="S504" s="450"/>
      <c r="T504" s="447">
        <f t="shared" si="34"/>
        <v>0</v>
      </c>
      <c r="U504" s="448">
        <f t="shared" si="35"/>
        <v>0</v>
      </c>
      <c r="V504" s="449"/>
      <c r="W504" s="450"/>
      <c r="X504" s="449"/>
      <c r="Y504" s="450"/>
      <c r="Z504" s="449"/>
      <c r="AA504" s="449"/>
      <c r="AB504" s="449"/>
      <c r="AC504" s="450"/>
      <c r="AD504" s="450"/>
      <c r="AE504" s="450"/>
      <c r="AF504" s="449"/>
      <c r="AG504" s="450"/>
    </row>
    <row r="505" spans="1:33" s="27" customFormat="1" ht="15" customHeight="1">
      <c r="A505" s="112" t="s">
        <v>525</v>
      </c>
      <c r="B505" s="113" t="s">
        <v>538</v>
      </c>
      <c r="C505" s="138"/>
      <c r="D505" s="115">
        <v>447582</v>
      </c>
      <c r="E505" s="137">
        <v>10</v>
      </c>
      <c r="F505" s="447">
        <f t="shared" si="32"/>
        <v>26362</v>
      </c>
      <c r="G505" s="448">
        <f t="shared" si="33"/>
        <v>25691</v>
      </c>
      <c r="H505" s="449">
        <v>17400</v>
      </c>
      <c r="I505" s="450">
        <v>15118</v>
      </c>
      <c r="J505" s="449">
        <v>0</v>
      </c>
      <c r="K505" s="450">
        <v>0</v>
      </c>
      <c r="L505" s="449">
        <v>8962</v>
      </c>
      <c r="M505" s="449"/>
      <c r="N505" s="449"/>
      <c r="O505" s="450">
        <v>10573</v>
      </c>
      <c r="P505" s="450">
        <v>0</v>
      </c>
      <c r="Q505" s="450"/>
      <c r="R505" s="449"/>
      <c r="S505" s="450"/>
      <c r="T505" s="447">
        <f t="shared" si="34"/>
        <v>0</v>
      </c>
      <c r="U505" s="448">
        <f t="shared" si="35"/>
        <v>0</v>
      </c>
      <c r="V505" s="449"/>
      <c r="W505" s="450"/>
      <c r="X505" s="449"/>
      <c r="Y505" s="450"/>
      <c r="Z505" s="449"/>
      <c r="AA505" s="449"/>
      <c r="AB505" s="449"/>
      <c r="AC505" s="450"/>
      <c r="AD505" s="450"/>
      <c r="AE505" s="450"/>
      <c r="AF505" s="449"/>
      <c r="AG505" s="450"/>
    </row>
    <row r="506" spans="1:33" s="27" customFormat="1" ht="15" customHeight="1">
      <c r="A506" s="112" t="s">
        <v>525</v>
      </c>
      <c r="B506" s="140" t="s">
        <v>539</v>
      </c>
      <c r="C506" s="138"/>
      <c r="D506" s="115">
        <v>443492</v>
      </c>
      <c r="E506" s="137">
        <v>10</v>
      </c>
      <c r="F506" s="447">
        <f t="shared" si="32"/>
        <v>37538</v>
      </c>
      <c r="G506" s="448">
        <f t="shared" si="33"/>
        <v>38040</v>
      </c>
      <c r="H506" s="449">
        <v>12219</v>
      </c>
      <c r="I506" s="450">
        <v>11262</v>
      </c>
      <c r="J506" s="449">
        <v>18607</v>
      </c>
      <c r="K506" s="450">
        <v>19563</v>
      </c>
      <c r="L506" s="449">
        <v>6712</v>
      </c>
      <c r="M506" s="449"/>
      <c r="N506" s="449"/>
      <c r="O506" s="450">
        <v>7215</v>
      </c>
      <c r="P506" s="450">
        <v>0</v>
      </c>
      <c r="Q506" s="450"/>
      <c r="R506" s="449"/>
      <c r="S506" s="450"/>
      <c r="T506" s="447">
        <f t="shared" si="34"/>
        <v>0</v>
      </c>
      <c r="U506" s="448">
        <f t="shared" si="35"/>
        <v>0</v>
      </c>
      <c r="V506" s="449"/>
      <c r="W506" s="450"/>
      <c r="X506" s="449"/>
      <c r="Y506" s="450"/>
      <c r="Z506" s="449"/>
      <c r="AA506" s="449"/>
      <c r="AB506" s="449"/>
      <c r="AC506" s="450"/>
      <c r="AD506" s="450"/>
      <c r="AE506" s="450"/>
      <c r="AF506" s="449"/>
      <c r="AG506" s="450"/>
    </row>
    <row r="507" spans="1:33" s="27" customFormat="1" ht="15" customHeight="1">
      <c r="A507" s="112" t="s">
        <v>525</v>
      </c>
      <c r="B507" s="113" t="s">
        <v>544</v>
      </c>
      <c r="C507" s="114"/>
      <c r="D507" s="115">
        <v>237817</v>
      </c>
      <c r="E507" s="137">
        <v>10</v>
      </c>
      <c r="F507" s="447">
        <f t="shared" si="32"/>
        <v>34276</v>
      </c>
      <c r="G507" s="448">
        <f t="shared" si="33"/>
        <v>32492</v>
      </c>
      <c r="H507" s="449">
        <v>15902</v>
      </c>
      <c r="I507" s="450">
        <v>14321</v>
      </c>
      <c r="J507" s="449">
        <v>1031</v>
      </c>
      <c r="K507" s="450">
        <v>1247</v>
      </c>
      <c r="L507" s="449">
        <v>14904</v>
      </c>
      <c r="M507" s="449">
        <v>2439</v>
      </c>
      <c r="N507" s="449"/>
      <c r="O507" s="450">
        <v>14754</v>
      </c>
      <c r="P507" s="450">
        <v>2170</v>
      </c>
      <c r="Q507" s="450"/>
      <c r="R507" s="449"/>
      <c r="S507" s="450"/>
      <c r="T507" s="447">
        <f t="shared" si="34"/>
        <v>0</v>
      </c>
      <c r="U507" s="448">
        <f t="shared" si="35"/>
        <v>0</v>
      </c>
      <c r="V507" s="449"/>
      <c r="W507" s="450"/>
      <c r="X507" s="449"/>
      <c r="Y507" s="450"/>
      <c r="Z507" s="449"/>
      <c r="AA507" s="449"/>
      <c r="AB507" s="449"/>
      <c r="AC507" s="450"/>
      <c r="AD507" s="450"/>
      <c r="AE507" s="450"/>
      <c r="AF507" s="449"/>
      <c r="AG507" s="450"/>
    </row>
    <row r="508" spans="1:33" s="27" customFormat="1" ht="15" customHeight="1">
      <c r="A508" s="112" t="s">
        <v>525</v>
      </c>
      <c r="B508" s="113" t="s">
        <v>545</v>
      </c>
      <c r="C508" s="116"/>
      <c r="D508" s="115">
        <v>238014</v>
      </c>
      <c r="E508" s="137">
        <v>10</v>
      </c>
      <c r="F508" s="447">
        <f t="shared" si="32"/>
        <v>32146</v>
      </c>
      <c r="G508" s="448">
        <f t="shared" si="33"/>
        <v>30313</v>
      </c>
      <c r="H508" s="449">
        <v>16238</v>
      </c>
      <c r="I508" s="450">
        <v>13677</v>
      </c>
      <c r="J508" s="449">
        <v>0</v>
      </c>
      <c r="K508" s="450">
        <v>0</v>
      </c>
      <c r="L508" s="449">
        <v>13926</v>
      </c>
      <c r="M508" s="449">
        <v>1982</v>
      </c>
      <c r="N508" s="449"/>
      <c r="O508" s="450">
        <v>14519</v>
      </c>
      <c r="P508" s="450">
        <v>2117</v>
      </c>
      <c r="Q508" s="450"/>
      <c r="R508" s="449"/>
      <c r="S508" s="450"/>
      <c r="T508" s="447">
        <f t="shared" si="34"/>
        <v>0</v>
      </c>
      <c r="U508" s="448">
        <f t="shared" si="35"/>
        <v>0</v>
      </c>
      <c r="V508" s="449"/>
      <c r="W508" s="450"/>
      <c r="X508" s="449"/>
      <c r="Y508" s="450"/>
      <c r="Z508" s="449"/>
      <c r="AA508" s="449"/>
      <c r="AB508" s="449"/>
      <c r="AC508" s="450"/>
      <c r="AD508" s="450"/>
      <c r="AE508" s="450"/>
      <c r="AF508" s="449"/>
      <c r="AG508" s="450"/>
    </row>
    <row r="509" spans="1:33" s="27" customFormat="1" ht="15" customHeight="1">
      <c r="A509" s="144" t="s">
        <v>525</v>
      </c>
      <c r="B509" s="476" t="s">
        <v>813</v>
      </c>
      <c r="C509" s="476"/>
      <c r="D509" s="477">
        <v>237729</v>
      </c>
      <c r="E509" s="145">
        <v>14</v>
      </c>
      <c r="F509" s="447">
        <f t="shared" si="32"/>
        <v>0</v>
      </c>
      <c r="G509" s="448">
        <f t="shared" si="33"/>
        <v>0</v>
      </c>
      <c r="H509" s="449"/>
      <c r="I509" s="450">
        <v>0</v>
      </c>
      <c r="J509" s="449"/>
      <c r="K509" s="450">
        <v>0</v>
      </c>
      <c r="L509" s="449"/>
      <c r="M509" s="449"/>
      <c r="N509" s="449"/>
      <c r="O509" s="450">
        <v>0</v>
      </c>
      <c r="P509" s="450">
        <v>0</v>
      </c>
      <c r="Q509" s="450">
        <v>0</v>
      </c>
      <c r="R509" s="449"/>
      <c r="S509" s="450">
        <v>0</v>
      </c>
      <c r="T509" s="447">
        <f t="shared" si="34"/>
        <v>0</v>
      </c>
      <c r="U509" s="448">
        <f t="shared" si="35"/>
        <v>0</v>
      </c>
      <c r="V509" s="449"/>
      <c r="W509" s="450"/>
      <c r="X509" s="449"/>
      <c r="Y509" s="450"/>
      <c r="Z509" s="449"/>
      <c r="AA509" s="449"/>
      <c r="AB509" s="449"/>
      <c r="AC509" s="450"/>
      <c r="AD509" s="450"/>
      <c r="AE509" s="450"/>
      <c r="AF509" s="449"/>
      <c r="AG509" s="450"/>
    </row>
    <row r="510" spans="1:33" s="27" customFormat="1" ht="15" customHeight="1">
      <c r="A510" s="144" t="s">
        <v>525</v>
      </c>
      <c r="B510" s="476" t="s">
        <v>546</v>
      </c>
      <c r="C510" s="476"/>
      <c r="D510" s="477">
        <v>237172</v>
      </c>
      <c r="E510" s="145">
        <v>14</v>
      </c>
      <c r="F510" s="447">
        <f t="shared" si="32"/>
        <v>0</v>
      </c>
      <c r="G510" s="448">
        <f t="shared" si="33"/>
        <v>0</v>
      </c>
      <c r="H510" s="449"/>
      <c r="I510" s="450">
        <v>0</v>
      </c>
      <c r="J510" s="449"/>
      <c r="K510" s="450">
        <v>0</v>
      </c>
      <c r="L510" s="449"/>
      <c r="M510" s="449"/>
      <c r="N510" s="449"/>
      <c r="O510" s="450">
        <v>0</v>
      </c>
      <c r="P510" s="450">
        <v>0</v>
      </c>
      <c r="Q510" s="450">
        <v>0</v>
      </c>
      <c r="R510" s="449"/>
      <c r="S510" s="450">
        <v>0</v>
      </c>
      <c r="T510" s="447">
        <f t="shared" si="34"/>
        <v>0</v>
      </c>
      <c r="U510" s="448">
        <f t="shared" si="35"/>
        <v>0</v>
      </c>
      <c r="V510" s="449"/>
      <c r="W510" s="450"/>
      <c r="X510" s="449"/>
      <c r="Y510" s="450"/>
      <c r="Z510" s="449"/>
      <c r="AA510" s="449"/>
      <c r="AB510" s="449"/>
      <c r="AC510" s="450"/>
      <c r="AD510" s="450"/>
      <c r="AE510" s="450"/>
      <c r="AF510" s="449"/>
      <c r="AG510" s="450"/>
    </row>
    <row r="511" spans="1:33" s="27" customFormat="1" ht="15" customHeight="1">
      <c r="A511" s="146" t="s">
        <v>525</v>
      </c>
      <c r="B511" s="476" t="s">
        <v>814</v>
      </c>
      <c r="C511" s="476"/>
      <c r="D511" s="477">
        <v>237224</v>
      </c>
      <c r="E511" s="145">
        <v>14</v>
      </c>
      <c r="F511" s="447">
        <f t="shared" si="32"/>
        <v>0</v>
      </c>
      <c r="G511" s="448">
        <f t="shared" si="33"/>
        <v>0</v>
      </c>
      <c r="H511" s="449"/>
      <c r="I511" s="450">
        <v>0</v>
      </c>
      <c r="J511" s="449"/>
      <c r="K511" s="450">
        <v>0</v>
      </c>
      <c r="L511" s="449"/>
      <c r="M511" s="449"/>
      <c r="N511" s="449"/>
      <c r="O511" s="450">
        <v>0</v>
      </c>
      <c r="P511" s="450">
        <v>0</v>
      </c>
      <c r="Q511" s="450">
        <v>0</v>
      </c>
      <c r="R511" s="449"/>
      <c r="S511" s="450">
        <v>0</v>
      </c>
      <c r="T511" s="447">
        <f t="shared" si="34"/>
        <v>0</v>
      </c>
      <c r="U511" s="448">
        <f t="shared" si="35"/>
        <v>0</v>
      </c>
      <c r="V511" s="449"/>
      <c r="W511" s="450"/>
      <c r="X511" s="449"/>
      <c r="Y511" s="450"/>
      <c r="Z511" s="449"/>
      <c r="AA511" s="449"/>
      <c r="AB511" s="449"/>
      <c r="AC511" s="450"/>
      <c r="AD511" s="450"/>
      <c r="AE511" s="450"/>
      <c r="AF511" s="449"/>
      <c r="AG511" s="450"/>
    </row>
    <row r="512" spans="1:33" s="27" customFormat="1" ht="15" customHeight="1">
      <c r="A512" s="146" t="s">
        <v>525</v>
      </c>
      <c r="B512" s="476" t="s">
        <v>547</v>
      </c>
      <c r="C512" s="476"/>
      <c r="D512" s="477">
        <v>237242</v>
      </c>
      <c r="E512" s="145">
        <v>14</v>
      </c>
      <c r="F512" s="447">
        <f t="shared" si="32"/>
        <v>0</v>
      </c>
      <c r="G512" s="448">
        <f t="shared" si="33"/>
        <v>0</v>
      </c>
      <c r="H512" s="449"/>
      <c r="I512" s="450">
        <v>0</v>
      </c>
      <c r="J512" s="449"/>
      <c r="K512" s="450">
        <v>0</v>
      </c>
      <c r="L512" s="449"/>
      <c r="M512" s="449"/>
      <c r="N512" s="449"/>
      <c r="O512" s="450">
        <v>0</v>
      </c>
      <c r="P512" s="450">
        <v>0</v>
      </c>
      <c r="Q512" s="450">
        <v>0</v>
      </c>
      <c r="R512" s="449"/>
      <c r="S512" s="450">
        <v>0</v>
      </c>
      <c r="T512" s="447">
        <f t="shared" si="34"/>
        <v>0</v>
      </c>
      <c r="U512" s="448">
        <f t="shared" si="35"/>
        <v>0</v>
      </c>
      <c r="V512" s="449"/>
      <c r="W512" s="450"/>
      <c r="X512" s="449"/>
      <c r="Y512" s="450"/>
      <c r="Z512" s="449"/>
      <c r="AA512" s="449"/>
      <c r="AB512" s="449"/>
      <c r="AC512" s="450"/>
      <c r="AD512" s="450"/>
      <c r="AE512" s="450"/>
      <c r="AF512" s="449"/>
      <c r="AG512" s="450"/>
    </row>
    <row r="513" spans="1:33" s="27" customFormat="1" ht="15" customHeight="1">
      <c r="A513" s="144" t="s">
        <v>525</v>
      </c>
      <c r="B513" s="476" t="s">
        <v>815</v>
      </c>
      <c r="C513" s="476"/>
      <c r="D513" s="477">
        <v>430795</v>
      </c>
      <c r="E513" s="145">
        <v>14</v>
      </c>
      <c r="F513" s="447">
        <f t="shared" si="32"/>
        <v>0</v>
      </c>
      <c r="G513" s="448">
        <f t="shared" si="33"/>
        <v>0</v>
      </c>
      <c r="H513" s="449"/>
      <c r="I513" s="450">
        <v>0</v>
      </c>
      <c r="J513" s="449"/>
      <c r="K513" s="450">
        <v>0</v>
      </c>
      <c r="L513" s="449"/>
      <c r="M513" s="449"/>
      <c r="N513" s="449"/>
      <c r="O513" s="450">
        <v>0</v>
      </c>
      <c r="P513" s="450">
        <v>0</v>
      </c>
      <c r="Q513" s="450">
        <v>0</v>
      </c>
      <c r="R513" s="449"/>
      <c r="S513" s="450">
        <v>0</v>
      </c>
      <c r="T513" s="447">
        <f t="shared" si="34"/>
        <v>0</v>
      </c>
      <c r="U513" s="448">
        <f t="shared" si="35"/>
        <v>0</v>
      </c>
      <c r="V513" s="449"/>
      <c r="W513" s="450"/>
      <c r="X513" s="449"/>
      <c r="Y513" s="450"/>
      <c r="Z513" s="449"/>
      <c r="AA513" s="449"/>
      <c r="AB513" s="449"/>
      <c r="AC513" s="450"/>
      <c r="AD513" s="450"/>
      <c r="AE513" s="450"/>
      <c r="AF513" s="449"/>
      <c r="AG513" s="450"/>
    </row>
    <row r="514" spans="1:33" s="27" customFormat="1" ht="15" customHeight="1">
      <c r="A514" s="144" t="s">
        <v>525</v>
      </c>
      <c r="B514" s="476" t="s">
        <v>548</v>
      </c>
      <c r="C514" s="476"/>
      <c r="D514" s="477">
        <v>413176</v>
      </c>
      <c r="E514" s="145">
        <v>14</v>
      </c>
      <c r="F514" s="447">
        <f t="shared" si="32"/>
        <v>0</v>
      </c>
      <c r="G514" s="448">
        <f t="shared" si="33"/>
        <v>0</v>
      </c>
      <c r="H514" s="449"/>
      <c r="I514" s="450">
        <v>0</v>
      </c>
      <c r="J514" s="449"/>
      <c r="K514" s="450">
        <v>0</v>
      </c>
      <c r="L514" s="449"/>
      <c r="M514" s="449"/>
      <c r="N514" s="449"/>
      <c r="O514" s="450">
        <v>0</v>
      </c>
      <c r="P514" s="450">
        <v>0</v>
      </c>
      <c r="Q514" s="450">
        <v>0</v>
      </c>
      <c r="R514" s="449"/>
      <c r="S514" s="450">
        <v>0</v>
      </c>
      <c r="T514" s="447">
        <f t="shared" si="34"/>
        <v>0</v>
      </c>
      <c r="U514" s="448">
        <f t="shared" si="35"/>
        <v>0</v>
      </c>
      <c r="V514" s="449"/>
      <c r="W514" s="450"/>
      <c r="X514" s="449"/>
      <c r="Y514" s="450"/>
      <c r="Z514" s="449"/>
      <c r="AA514" s="449"/>
      <c r="AB514" s="449"/>
      <c r="AC514" s="450"/>
      <c r="AD514" s="450"/>
      <c r="AE514" s="450"/>
      <c r="AF514" s="449"/>
      <c r="AG514" s="450"/>
    </row>
    <row r="515" spans="1:33" s="27" customFormat="1" ht="15" customHeight="1">
      <c r="A515" s="146" t="s">
        <v>525</v>
      </c>
      <c r="B515" s="476" t="s">
        <v>549</v>
      </c>
      <c r="C515" s="476"/>
      <c r="D515" s="477">
        <v>237844</v>
      </c>
      <c r="E515" s="145">
        <v>14</v>
      </c>
      <c r="F515" s="447">
        <f t="shared" ref="F515:F534" si="36">SUM(H515,J515,L515,M515,N515,R515)</f>
        <v>0</v>
      </c>
      <c r="G515" s="448">
        <f t="shared" ref="G515:G534" si="37">SUM(I515,K515,O515,P515,Q515,S515)</f>
        <v>0</v>
      </c>
      <c r="H515" s="449"/>
      <c r="I515" s="450">
        <v>0</v>
      </c>
      <c r="J515" s="449"/>
      <c r="K515" s="450">
        <v>0</v>
      </c>
      <c r="L515" s="449"/>
      <c r="M515" s="449"/>
      <c r="N515" s="449"/>
      <c r="O515" s="450">
        <v>0</v>
      </c>
      <c r="P515" s="450">
        <v>0</v>
      </c>
      <c r="Q515" s="450">
        <v>0</v>
      </c>
      <c r="R515" s="449"/>
      <c r="S515" s="450">
        <v>0</v>
      </c>
      <c r="T515" s="447">
        <f t="shared" ref="T515:T534" si="38">SUM(V515,X515,Z515,AA515,AB515,AF515)</f>
        <v>0</v>
      </c>
      <c r="U515" s="448">
        <f t="shared" ref="U515:U534" si="39">SUM(W515,Y515,AC515,AD515,AE515,AG515)</f>
        <v>0</v>
      </c>
      <c r="V515" s="449"/>
      <c r="W515" s="450"/>
      <c r="X515" s="449"/>
      <c r="Y515" s="450"/>
      <c r="Z515" s="449"/>
      <c r="AA515" s="449"/>
      <c r="AB515" s="449"/>
      <c r="AC515" s="450"/>
      <c r="AD515" s="450"/>
      <c r="AE515" s="450"/>
      <c r="AF515" s="449"/>
      <c r="AG515" s="450"/>
    </row>
    <row r="516" spans="1:33" s="27" customFormat="1" ht="15" customHeight="1">
      <c r="A516" s="146" t="s">
        <v>525</v>
      </c>
      <c r="B516" s="476" t="s">
        <v>550</v>
      </c>
      <c r="C516" s="476"/>
      <c r="D516" s="477">
        <v>431169</v>
      </c>
      <c r="E516" s="145">
        <v>14</v>
      </c>
      <c r="F516" s="447">
        <f t="shared" si="36"/>
        <v>0</v>
      </c>
      <c r="G516" s="448">
        <f t="shared" si="37"/>
        <v>0</v>
      </c>
      <c r="H516" s="449"/>
      <c r="I516" s="450">
        <v>0</v>
      </c>
      <c r="J516" s="449"/>
      <c r="K516" s="450">
        <v>0</v>
      </c>
      <c r="L516" s="449"/>
      <c r="M516" s="449"/>
      <c r="N516" s="449"/>
      <c r="O516" s="450">
        <v>0</v>
      </c>
      <c r="P516" s="450">
        <v>0</v>
      </c>
      <c r="Q516" s="450">
        <v>0</v>
      </c>
      <c r="R516" s="449"/>
      <c r="S516" s="450">
        <v>0</v>
      </c>
      <c r="T516" s="447">
        <f t="shared" si="38"/>
        <v>0</v>
      </c>
      <c r="U516" s="448">
        <f t="shared" si="39"/>
        <v>0</v>
      </c>
      <c r="V516" s="449"/>
      <c r="W516" s="450"/>
      <c r="X516" s="449"/>
      <c r="Y516" s="450"/>
      <c r="Z516" s="449"/>
      <c r="AA516" s="449"/>
      <c r="AB516" s="449"/>
      <c r="AC516" s="450"/>
      <c r="AD516" s="450"/>
      <c r="AE516" s="450"/>
      <c r="AF516" s="449"/>
      <c r="AG516" s="450"/>
    </row>
    <row r="517" spans="1:33" s="27" customFormat="1" ht="15" customHeight="1">
      <c r="A517" s="144" t="s">
        <v>525</v>
      </c>
      <c r="B517" s="476" t="s">
        <v>551</v>
      </c>
      <c r="C517" s="476"/>
      <c r="D517" s="477">
        <v>237473</v>
      </c>
      <c r="E517" s="145">
        <v>14</v>
      </c>
      <c r="F517" s="447">
        <f t="shared" si="36"/>
        <v>0</v>
      </c>
      <c r="G517" s="448">
        <f t="shared" si="37"/>
        <v>0</v>
      </c>
      <c r="H517" s="449"/>
      <c r="I517" s="450">
        <v>0</v>
      </c>
      <c r="J517" s="449"/>
      <c r="K517" s="450">
        <v>0</v>
      </c>
      <c r="L517" s="449"/>
      <c r="M517" s="449"/>
      <c r="N517" s="449"/>
      <c r="O517" s="450">
        <v>0</v>
      </c>
      <c r="P517" s="450">
        <v>0</v>
      </c>
      <c r="Q517" s="450">
        <v>0</v>
      </c>
      <c r="R517" s="449"/>
      <c r="S517" s="450">
        <v>0</v>
      </c>
      <c r="T517" s="447">
        <f t="shared" si="38"/>
        <v>0</v>
      </c>
      <c r="U517" s="448">
        <f t="shared" si="39"/>
        <v>0</v>
      </c>
      <c r="V517" s="449"/>
      <c r="W517" s="450"/>
      <c r="X517" s="449"/>
      <c r="Y517" s="450"/>
      <c r="Z517" s="449"/>
      <c r="AA517" s="449"/>
      <c r="AB517" s="449"/>
      <c r="AC517" s="450"/>
      <c r="AD517" s="450"/>
      <c r="AE517" s="450"/>
      <c r="AF517" s="449"/>
      <c r="AG517" s="450"/>
    </row>
    <row r="518" spans="1:33" s="27" customFormat="1" ht="15" customHeight="1">
      <c r="A518" s="146" t="s">
        <v>525</v>
      </c>
      <c r="B518" s="476" t="s">
        <v>552</v>
      </c>
      <c r="C518" s="476"/>
      <c r="D518" s="477">
        <v>446349</v>
      </c>
      <c r="E518" s="145">
        <v>14</v>
      </c>
      <c r="F518" s="447">
        <f t="shared" si="36"/>
        <v>0</v>
      </c>
      <c r="G518" s="448">
        <f t="shared" si="37"/>
        <v>0</v>
      </c>
      <c r="H518" s="449"/>
      <c r="I518" s="450">
        <v>0</v>
      </c>
      <c r="J518" s="449"/>
      <c r="K518" s="450">
        <v>0</v>
      </c>
      <c r="L518" s="449"/>
      <c r="M518" s="449"/>
      <c r="N518" s="449"/>
      <c r="O518" s="450">
        <v>0</v>
      </c>
      <c r="P518" s="450">
        <v>0</v>
      </c>
      <c r="Q518" s="450">
        <v>0</v>
      </c>
      <c r="R518" s="449"/>
      <c r="S518" s="450">
        <v>0</v>
      </c>
      <c r="T518" s="447">
        <f t="shared" si="38"/>
        <v>0</v>
      </c>
      <c r="U518" s="448">
        <f t="shared" si="39"/>
        <v>0</v>
      </c>
      <c r="V518" s="449"/>
      <c r="W518" s="450"/>
      <c r="X518" s="449"/>
      <c r="Y518" s="450"/>
      <c r="Z518" s="449"/>
      <c r="AA518" s="449"/>
      <c r="AB518" s="449"/>
      <c r="AC518" s="450"/>
      <c r="AD518" s="450"/>
      <c r="AE518" s="450"/>
      <c r="AF518" s="449"/>
      <c r="AG518" s="450"/>
    </row>
    <row r="519" spans="1:33" s="27" customFormat="1" ht="15" customHeight="1">
      <c r="A519" s="146" t="s">
        <v>525</v>
      </c>
      <c r="B519" s="476" t="s">
        <v>816</v>
      </c>
      <c r="C519" s="476"/>
      <c r="D519" s="477">
        <v>237516</v>
      </c>
      <c r="E519" s="145">
        <v>14</v>
      </c>
      <c r="F519" s="447">
        <f t="shared" si="36"/>
        <v>0</v>
      </c>
      <c r="G519" s="448">
        <f t="shared" si="37"/>
        <v>0</v>
      </c>
      <c r="H519" s="449"/>
      <c r="I519" s="450">
        <v>0</v>
      </c>
      <c r="J519" s="449"/>
      <c r="K519" s="450">
        <v>0</v>
      </c>
      <c r="L519" s="449"/>
      <c r="M519" s="449"/>
      <c r="N519" s="449"/>
      <c r="O519" s="450">
        <v>0</v>
      </c>
      <c r="P519" s="450">
        <v>0</v>
      </c>
      <c r="Q519" s="450">
        <v>0</v>
      </c>
      <c r="R519" s="449"/>
      <c r="S519" s="450">
        <v>0</v>
      </c>
      <c r="T519" s="447">
        <f t="shared" si="38"/>
        <v>0</v>
      </c>
      <c r="U519" s="448">
        <f t="shared" si="39"/>
        <v>0</v>
      </c>
      <c r="V519" s="449"/>
      <c r="W519" s="450"/>
      <c r="X519" s="449"/>
      <c r="Y519" s="450"/>
      <c r="Z519" s="449"/>
      <c r="AA519" s="449"/>
      <c r="AB519" s="449"/>
      <c r="AC519" s="450"/>
      <c r="AD519" s="450"/>
      <c r="AE519" s="450"/>
      <c r="AF519" s="449"/>
      <c r="AG519" s="450"/>
    </row>
    <row r="520" spans="1:33" s="27" customFormat="1" ht="15" customHeight="1">
      <c r="A520" s="146" t="s">
        <v>525</v>
      </c>
      <c r="B520" s="476" t="s">
        <v>817</v>
      </c>
      <c r="C520" s="476"/>
      <c r="D520" s="477">
        <v>237534</v>
      </c>
      <c r="E520" s="145">
        <v>14</v>
      </c>
      <c r="F520" s="447">
        <f t="shared" si="36"/>
        <v>0</v>
      </c>
      <c r="G520" s="448">
        <f t="shared" si="37"/>
        <v>0</v>
      </c>
      <c r="H520" s="449"/>
      <c r="I520" s="450">
        <v>0</v>
      </c>
      <c r="J520" s="449"/>
      <c r="K520" s="450">
        <v>0</v>
      </c>
      <c r="L520" s="449"/>
      <c r="M520" s="449"/>
      <c r="N520" s="449"/>
      <c r="O520" s="450">
        <v>0</v>
      </c>
      <c r="P520" s="450">
        <v>0</v>
      </c>
      <c r="Q520" s="450">
        <v>0</v>
      </c>
      <c r="R520" s="449"/>
      <c r="S520" s="450">
        <v>0</v>
      </c>
      <c r="T520" s="447">
        <f t="shared" si="38"/>
        <v>0</v>
      </c>
      <c r="U520" s="448">
        <f t="shared" si="39"/>
        <v>0</v>
      </c>
      <c r="V520" s="449"/>
      <c r="W520" s="450"/>
      <c r="X520" s="449"/>
      <c r="Y520" s="450"/>
      <c r="Z520" s="449"/>
      <c r="AA520" s="449"/>
      <c r="AB520" s="449"/>
      <c r="AC520" s="450"/>
      <c r="AD520" s="450"/>
      <c r="AE520" s="450"/>
      <c r="AF520" s="449"/>
      <c r="AG520" s="450"/>
    </row>
    <row r="521" spans="1:33" s="27" customFormat="1" ht="15" customHeight="1">
      <c r="A521" s="144" t="s">
        <v>525</v>
      </c>
      <c r="B521" s="476" t="s">
        <v>553</v>
      </c>
      <c r="C521" s="476"/>
      <c r="D521" s="477">
        <v>237543</v>
      </c>
      <c r="E521" s="145">
        <v>14</v>
      </c>
      <c r="F521" s="447">
        <f t="shared" si="36"/>
        <v>0</v>
      </c>
      <c r="G521" s="448">
        <f t="shared" si="37"/>
        <v>0</v>
      </c>
      <c r="H521" s="449"/>
      <c r="I521" s="450">
        <v>0</v>
      </c>
      <c r="J521" s="449"/>
      <c r="K521" s="450">
        <v>0</v>
      </c>
      <c r="L521" s="449"/>
      <c r="M521" s="449"/>
      <c r="N521" s="449"/>
      <c r="O521" s="450">
        <v>0</v>
      </c>
      <c r="P521" s="450">
        <v>0</v>
      </c>
      <c r="Q521" s="450">
        <v>0</v>
      </c>
      <c r="R521" s="449"/>
      <c r="S521" s="450">
        <v>0</v>
      </c>
      <c r="T521" s="447">
        <f t="shared" si="38"/>
        <v>0</v>
      </c>
      <c r="U521" s="448">
        <f t="shared" si="39"/>
        <v>0</v>
      </c>
      <c r="V521" s="449"/>
      <c r="W521" s="450"/>
      <c r="X521" s="449"/>
      <c r="Y521" s="450"/>
      <c r="Z521" s="449"/>
      <c r="AA521" s="449"/>
      <c r="AB521" s="449"/>
      <c r="AC521" s="450"/>
      <c r="AD521" s="450"/>
      <c r="AE521" s="450"/>
      <c r="AF521" s="449"/>
      <c r="AG521" s="450"/>
    </row>
    <row r="522" spans="1:33" s="27" customFormat="1" ht="15" customHeight="1">
      <c r="A522" s="146" t="s">
        <v>525</v>
      </c>
      <c r="B522" s="476" t="s">
        <v>818</v>
      </c>
      <c r="C522" s="476"/>
      <c r="D522" s="477">
        <v>368647</v>
      </c>
      <c r="E522" s="145">
        <v>14</v>
      </c>
      <c r="F522" s="447">
        <f t="shared" si="36"/>
        <v>0</v>
      </c>
      <c r="G522" s="448">
        <f t="shared" si="37"/>
        <v>0</v>
      </c>
      <c r="H522" s="449"/>
      <c r="I522" s="450">
        <v>0</v>
      </c>
      <c r="J522" s="449"/>
      <c r="K522" s="450">
        <v>0</v>
      </c>
      <c r="L522" s="449"/>
      <c r="M522" s="449"/>
      <c r="N522" s="449"/>
      <c r="O522" s="450">
        <v>0</v>
      </c>
      <c r="P522" s="450">
        <v>0</v>
      </c>
      <c r="Q522" s="450">
        <v>0</v>
      </c>
      <c r="R522" s="449"/>
      <c r="S522" s="450">
        <v>0</v>
      </c>
      <c r="T522" s="447">
        <f t="shared" si="38"/>
        <v>0</v>
      </c>
      <c r="U522" s="448">
        <f t="shared" si="39"/>
        <v>0</v>
      </c>
      <c r="V522" s="449"/>
      <c r="W522" s="450"/>
      <c r="X522" s="449"/>
      <c r="Y522" s="450"/>
      <c r="Z522" s="449"/>
      <c r="AA522" s="449"/>
      <c r="AB522" s="449"/>
      <c r="AC522" s="450"/>
      <c r="AD522" s="450"/>
      <c r="AE522" s="450"/>
      <c r="AF522" s="449"/>
      <c r="AG522" s="450"/>
    </row>
    <row r="523" spans="1:33" s="27" customFormat="1" ht="15" customHeight="1">
      <c r="A523" s="146" t="s">
        <v>525</v>
      </c>
      <c r="B523" s="476" t="s">
        <v>554</v>
      </c>
      <c r="C523" s="476"/>
      <c r="D523" s="477">
        <v>237561</v>
      </c>
      <c r="E523" s="145">
        <v>14</v>
      </c>
      <c r="F523" s="447">
        <f t="shared" si="36"/>
        <v>0</v>
      </c>
      <c r="G523" s="448">
        <f t="shared" si="37"/>
        <v>0</v>
      </c>
      <c r="H523" s="449"/>
      <c r="I523" s="450">
        <v>0</v>
      </c>
      <c r="J523" s="449"/>
      <c r="K523" s="450">
        <v>0</v>
      </c>
      <c r="L523" s="449"/>
      <c r="M523" s="449"/>
      <c r="N523" s="449"/>
      <c r="O523" s="450">
        <v>0</v>
      </c>
      <c r="P523" s="450">
        <v>0</v>
      </c>
      <c r="Q523" s="450">
        <v>0</v>
      </c>
      <c r="R523" s="449"/>
      <c r="S523" s="450">
        <v>0</v>
      </c>
      <c r="T523" s="447">
        <f t="shared" si="38"/>
        <v>0</v>
      </c>
      <c r="U523" s="448">
        <f t="shared" si="39"/>
        <v>0</v>
      </c>
      <c r="V523" s="449"/>
      <c r="W523" s="450"/>
      <c r="X523" s="449"/>
      <c r="Y523" s="450"/>
      <c r="Z523" s="449"/>
      <c r="AA523" s="449"/>
      <c r="AB523" s="449"/>
      <c r="AC523" s="450"/>
      <c r="AD523" s="450"/>
      <c r="AE523" s="450"/>
      <c r="AF523" s="449"/>
      <c r="AG523" s="450"/>
    </row>
    <row r="524" spans="1:33" s="27" customFormat="1" ht="15" customHeight="1">
      <c r="A524" s="146" t="s">
        <v>525</v>
      </c>
      <c r="B524" s="476" t="s">
        <v>555</v>
      </c>
      <c r="C524" s="476"/>
      <c r="D524" s="477">
        <v>419420</v>
      </c>
      <c r="E524" s="145">
        <v>14</v>
      </c>
      <c r="F524" s="447">
        <f t="shared" si="36"/>
        <v>0</v>
      </c>
      <c r="G524" s="448">
        <f t="shared" si="37"/>
        <v>0</v>
      </c>
      <c r="H524" s="449"/>
      <c r="I524" s="450">
        <v>0</v>
      </c>
      <c r="J524" s="449"/>
      <c r="K524" s="450">
        <v>0</v>
      </c>
      <c r="L524" s="449"/>
      <c r="M524" s="449"/>
      <c r="N524" s="449"/>
      <c r="O524" s="450">
        <v>0</v>
      </c>
      <c r="P524" s="450">
        <v>0</v>
      </c>
      <c r="Q524" s="450">
        <v>0</v>
      </c>
      <c r="R524" s="449"/>
      <c r="S524" s="450">
        <v>0</v>
      </c>
      <c r="T524" s="447">
        <f t="shared" si="38"/>
        <v>0</v>
      </c>
      <c r="U524" s="448">
        <f t="shared" si="39"/>
        <v>0</v>
      </c>
      <c r="V524" s="449"/>
      <c r="W524" s="450"/>
      <c r="X524" s="449"/>
      <c r="Y524" s="450"/>
      <c r="Z524" s="449"/>
      <c r="AA524" s="449"/>
      <c r="AB524" s="449"/>
      <c r="AC524" s="450"/>
      <c r="AD524" s="450"/>
      <c r="AE524" s="450"/>
      <c r="AF524" s="449"/>
      <c r="AG524" s="450"/>
    </row>
    <row r="525" spans="1:33" s="27" customFormat="1" ht="15" customHeight="1">
      <c r="A525" s="146" t="s">
        <v>525</v>
      </c>
      <c r="B525" s="476" t="s">
        <v>556</v>
      </c>
      <c r="C525" s="476"/>
      <c r="D525" s="477">
        <v>237491</v>
      </c>
      <c r="E525" s="145">
        <v>14</v>
      </c>
      <c r="F525" s="447">
        <f t="shared" si="36"/>
        <v>0</v>
      </c>
      <c r="G525" s="448">
        <f t="shared" si="37"/>
        <v>0</v>
      </c>
      <c r="H525" s="449"/>
      <c r="I525" s="450">
        <v>0</v>
      </c>
      <c r="J525" s="449"/>
      <c r="K525" s="450">
        <v>0</v>
      </c>
      <c r="L525" s="449"/>
      <c r="M525" s="449"/>
      <c r="N525" s="449"/>
      <c r="O525" s="450">
        <v>0</v>
      </c>
      <c r="P525" s="450">
        <v>0</v>
      </c>
      <c r="Q525" s="450">
        <v>0</v>
      </c>
      <c r="R525" s="449"/>
      <c r="S525" s="450">
        <v>0</v>
      </c>
      <c r="T525" s="447">
        <f t="shared" si="38"/>
        <v>0</v>
      </c>
      <c r="U525" s="448">
        <f t="shared" si="39"/>
        <v>0</v>
      </c>
      <c r="V525" s="449"/>
      <c r="W525" s="450"/>
      <c r="X525" s="449"/>
      <c r="Y525" s="450"/>
      <c r="Z525" s="449"/>
      <c r="AA525" s="449"/>
      <c r="AB525" s="449"/>
      <c r="AC525" s="450"/>
      <c r="AD525" s="450"/>
      <c r="AE525" s="450"/>
      <c r="AF525" s="449"/>
      <c r="AG525" s="450"/>
    </row>
    <row r="526" spans="1:33" s="27" customFormat="1" ht="15" customHeight="1">
      <c r="A526" s="146" t="s">
        <v>525</v>
      </c>
      <c r="B526" s="476" t="s">
        <v>557</v>
      </c>
      <c r="C526" s="476"/>
      <c r="D526" s="477">
        <v>364575</v>
      </c>
      <c r="E526" s="145">
        <v>14</v>
      </c>
      <c r="F526" s="447">
        <f t="shared" si="36"/>
        <v>0</v>
      </c>
      <c r="G526" s="448">
        <f t="shared" si="37"/>
        <v>0</v>
      </c>
      <c r="H526" s="449"/>
      <c r="I526" s="450">
        <v>0</v>
      </c>
      <c r="J526" s="449"/>
      <c r="K526" s="450">
        <v>0</v>
      </c>
      <c r="L526" s="449"/>
      <c r="M526" s="449"/>
      <c r="N526" s="449"/>
      <c r="O526" s="450">
        <v>0</v>
      </c>
      <c r="P526" s="450">
        <v>0</v>
      </c>
      <c r="Q526" s="450">
        <v>0</v>
      </c>
      <c r="R526" s="449"/>
      <c r="S526" s="450">
        <v>0</v>
      </c>
      <c r="T526" s="447">
        <f t="shared" si="38"/>
        <v>0</v>
      </c>
      <c r="U526" s="448">
        <f t="shared" si="39"/>
        <v>0</v>
      </c>
      <c r="V526" s="449"/>
      <c r="W526" s="450"/>
      <c r="X526" s="449"/>
      <c r="Y526" s="450"/>
      <c r="Z526" s="449"/>
      <c r="AA526" s="449"/>
      <c r="AB526" s="449"/>
      <c r="AC526" s="450"/>
      <c r="AD526" s="450"/>
      <c r="AE526" s="450"/>
      <c r="AF526" s="449"/>
      <c r="AG526" s="450"/>
    </row>
    <row r="527" spans="1:33" s="27" customFormat="1" ht="15" customHeight="1">
      <c r="A527" s="146" t="s">
        <v>525</v>
      </c>
      <c r="B527" s="476" t="s">
        <v>558</v>
      </c>
      <c r="C527" s="476"/>
      <c r="D527" s="477">
        <v>441894</v>
      </c>
      <c r="E527" s="145">
        <v>14</v>
      </c>
      <c r="F527" s="447">
        <f t="shared" si="36"/>
        <v>0</v>
      </c>
      <c r="G527" s="448">
        <f t="shared" si="37"/>
        <v>0</v>
      </c>
      <c r="H527" s="449"/>
      <c r="I527" s="450">
        <v>0</v>
      </c>
      <c r="J527" s="449"/>
      <c r="K527" s="450">
        <v>0</v>
      </c>
      <c r="L527" s="449"/>
      <c r="M527" s="449"/>
      <c r="N527" s="449"/>
      <c r="O527" s="450">
        <v>0</v>
      </c>
      <c r="P527" s="450">
        <v>0</v>
      </c>
      <c r="Q527" s="450">
        <v>0</v>
      </c>
      <c r="R527" s="449"/>
      <c r="S527" s="450">
        <v>0</v>
      </c>
      <c r="T527" s="447">
        <f t="shared" si="38"/>
        <v>0</v>
      </c>
      <c r="U527" s="448">
        <f t="shared" si="39"/>
        <v>0</v>
      </c>
      <c r="V527" s="449"/>
      <c r="W527" s="450"/>
      <c r="X527" s="449"/>
      <c r="Y527" s="450"/>
      <c r="Z527" s="449"/>
      <c r="AA527" s="449"/>
      <c r="AB527" s="449"/>
      <c r="AC527" s="450"/>
      <c r="AD527" s="450"/>
      <c r="AE527" s="450"/>
      <c r="AF527" s="449"/>
      <c r="AG527" s="450"/>
    </row>
    <row r="528" spans="1:33" s="27" customFormat="1" ht="15" customHeight="1">
      <c r="A528" s="146" t="s">
        <v>525</v>
      </c>
      <c r="B528" s="476" t="s">
        <v>559</v>
      </c>
      <c r="C528" s="476"/>
      <c r="D528" s="477">
        <v>419031</v>
      </c>
      <c r="E528" s="145">
        <v>14</v>
      </c>
      <c r="F528" s="447">
        <f t="shared" si="36"/>
        <v>0</v>
      </c>
      <c r="G528" s="448">
        <f t="shared" si="37"/>
        <v>0</v>
      </c>
      <c r="H528" s="449"/>
      <c r="I528" s="450">
        <v>0</v>
      </c>
      <c r="J528" s="449"/>
      <c r="K528" s="450">
        <v>0</v>
      </c>
      <c r="L528" s="449"/>
      <c r="M528" s="449"/>
      <c r="N528" s="449"/>
      <c r="O528" s="450">
        <v>0</v>
      </c>
      <c r="P528" s="450">
        <v>0</v>
      </c>
      <c r="Q528" s="450">
        <v>0</v>
      </c>
      <c r="R528" s="449"/>
      <c r="S528" s="450">
        <v>0</v>
      </c>
      <c r="T528" s="447">
        <f t="shared" si="38"/>
        <v>0</v>
      </c>
      <c r="U528" s="448">
        <f t="shared" si="39"/>
        <v>0</v>
      </c>
      <c r="V528" s="449"/>
      <c r="W528" s="450"/>
      <c r="X528" s="449"/>
      <c r="Y528" s="450"/>
      <c r="Z528" s="449"/>
      <c r="AA528" s="449"/>
      <c r="AB528" s="449"/>
      <c r="AC528" s="450"/>
      <c r="AD528" s="450"/>
      <c r="AE528" s="450"/>
      <c r="AF528" s="449"/>
      <c r="AG528" s="450"/>
    </row>
    <row r="529" spans="1:33" s="27" customFormat="1" ht="15" customHeight="1">
      <c r="A529" s="146" t="s">
        <v>525</v>
      </c>
      <c r="B529" s="476" t="s">
        <v>819</v>
      </c>
      <c r="C529" s="476"/>
      <c r="D529" s="478" t="s">
        <v>485</v>
      </c>
      <c r="E529" s="145">
        <v>14</v>
      </c>
      <c r="F529" s="447">
        <f t="shared" si="36"/>
        <v>0</v>
      </c>
      <c r="G529" s="448">
        <f t="shared" si="37"/>
        <v>0</v>
      </c>
      <c r="H529" s="449"/>
      <c r="I529" s="450">
        <v>0</v>
      </c>
      <c r="J529" s="449"/>
      <c r="K529" s="450">
        <v>0</v>
      </c>
      <c r="L529" s="449"/>
      <c r="M529" s="449"/>
      <c r="N529" s="449"/>
      <c r="O529" s="450">
        <v>0</v>
      </c>
      <c r="P529" s="450">
        <v>0</v>
      </c>
      <c r="Q529" s="450">
        <v>0</v>
      </c>
      <c r="R529" s="449"/>
      <c r="S529" s="450">
        <v>0</v>
      </c>
      <c r="T529" s="447">
        <f t="shared" si="38"/>
        <v>0</v>
      </c>
      <c r="U529" s="448">
        <f t="shared" si="39"/>
        <v>0</v>
      </c>
      <c r="V529" s="449"/>
      <c r="W529" s="450"/>
      <c r="X529" s="449"/>
      <c r="Y529" s="450"/>
      <c r="Z529" s="449"/>
      <c r="AA529" s="449"/>
      <c r="AB529" s="449"/>
      <c r="AC529" s="450"/>
      <c r="AD529" s="450"/>
      <c r="AE529" s="450"/>
      <c r="AF529" s="449"/>
      <c r="AG529" s="450"/>
    </row>
    <row r="530" spans="1:33" s="27" customFormat="1" ht="15" customHeight="1">
      <c r="A530" s="146" t="s">
        <v>525</v>
      </c>
      <c r="B530" s="476" t="s">
        <v>820</v>
      </c>
      <c r="C530" s="476"/>
      <c r="D530" s="478" t="s">
        <v>485</v>
      </c>
      <c r="E530" s="145">
        <v>15</v>
      </c>
      <c r="F530" s="447">
        <f t="shared" si="36"/>
        <v>0</v>
      </c>
      <c r="G530" s="448">
        <f t="shared" si="37"/>
        <v>0</v>
      </c>
      <c r="H530" s="449"/>
      <c r="I530" s="450">
        <v>0</v>
      </c>
      <c r="J530" s="449"/>
      <c r="K530" s="450">
        <v>0</v>
      </c>
      <c r="L530" s="449"/>
      <c r="M530" s="449"/>
      <c r="N530" s="449"/>
      <c r="O530" s="450">
        <v>0</v>
      </c>
      <c r="P530" s="450">
        <v>0</v>
      </c>
      <c r="Q530" s="450">
        <v>0</v>
      </c>
      <c r="R530" s="449"/>
      <c r="S530" s="450">
        <v>0</v>
      </c>
      <c r="T530" s="447">
        <f t="shared" si="38"/>
        <v>0</v>
      </c>
      <c r="U530" s="448">
        <f t="shared" si="39"/>
        <v>0</v>
      </c>
      <c r="V530" s="449"/>
      <c r="W530" s="450"/>
      <c r="X530" s="449"/>
      <c r="Y530" s="450"/>
      <c r="Z530" s="449"/>
      <c r="AA530" s="449"/>
      <c r="AB530" s="449"/>
      <c r="AC530" s="450"/>
      <c r="AD530" s="450"/>
      <c r="AE530" s="450"/>
      <c r="AF530" s="449"/>
      <c r="AG530" s="450"/>
    </row>
    <row r="531" spans="1:33" s="27" customFormat="1" ht="15" customHeight="1">
      <c r="A531" s="146" t="s">
        <v>525</v>
      </c>
      <c r="B531" s="476" t="s">
        <v>560</v>
      </c>
      <c r="C531" s="476"/>
      <c r="D531" s="477">
        <v>486202</v>
      </c>
      <c r="E531" s="145">
        <v>15</v>
      </c>
      <c r="F531" s="447">
        <f t="shared" si="36"/>
        <v>0</v>
      </c>
      <c r="G531" s="448">
        <f t="shared" si="37"/>
        <v>0</v>
      </c>
      <c r="H531" s="449"/>
      <c r="I531" s="450">
        <v>0</v>
      </c>
      <c r="J531" s="449"/>
      <c r="K531" s="450">
        <v>0</v>
      </c>
      <c r="L531" s="449"/>
      <c r="M531" s="449"/>
      <c r="N531" s="449"/>
      <c r="O531" s="450">
        <v>0</v>
      </c>
      <c r="P531" s="450">
        <v>0</v>
      </c>
      <c r="Q531" s="450">
        <v>0</v>
      </c>
      <c r="R531" s="449"/>
      <c r="S531" s="450">
        <v>0</v>
      </c>
      <c r="T531" s="447">
        <f t="shared" si="38"/>
        <v>0</v>
      </c>
      <c r="U531" s="448">
        <f t="shared" si="39"/>
        <v>0</v>
      </c>
      <c r="V531" s="449"/>
      <c r="W531" s="450"/>
      <c r="X531" s="449"/>
      <c r="Y531" s="450"/>
      <c r="Z531" s="449"/>
      <c r="AA531" s="449"/>
      <c r="AB531" s="449"/>
      <c r="AC531" s="450"/>
      <c r="AD531" s="450"/>
      <c r="AE531" s="450"/>
      <c r="AF531" s="449"/>
      <c r="AG531" s="450"/>
    </row>
    <row r="532" spans="1:33" s="27" customFormat="1" ht="15" customHeight="1">
      <c r="A532" s="144" t="s">
        <v>525</v>
      </c>
      <c r="B532" s="476" t="s">
        <v>561</v>
      </c>
      <c r="C532" s="476"/>
      <c r="D532" s="477">
        <v>486406</v>
      </c>
      <c r="E532" s="145">
        <v>15</v>
      </c>
      <c r="F532" s="447">
        <f t="shared" si="36"/>
        <v>0</v>
      </c>
      <c r="G532" s="448">
        <f t="shared" si="37"/>
        <v>0</v>
      </c>
      <c r="H532" s="449"/>
      <c r="I532" s="450">
        <v>0</v>
      </c>
      <c r="J532" s="449"/>
      <c r="K532" s="450">
        <v>0</v>
      </c>
      <c r="L532" s="449"/>
      <c r="M532" s="449"/>
      <c r="N532" s="449"/>
      <c r="O532" s="450">
        <v>0</v>
      </c>
      <c r="P532" s="450">
        <v>0</v>
      </c>
      <c r="Q532" s="450">
        <v>0</v>
      </c>
      <c r="R532" s="449"/>
      <c r="S532" s="450">
        <v>0</v>
      </c>
      <c r="T532" s="447">
        <f t="shared" si="38"/>
        <v>0</v>
      </c>
      <c r="U532" s="448">
        <f t="shared" si="39"/>
        <v>0</v>
      </c>
      <c r="V532" s="449"/>
      <c r="W532" s="450"/>
      <c r="X532" s="449"/>
      <c r="Y532" s="450"/>
      <c r="Z532" s="449"/>
      <c r="AA532" s="449"/>
      <c r="AB532" s="449"/>
      <c r="AC532" s="450"/>
      <c r="AD532" s="450"/>
      <c r="AE532" s="450"/>
      <c r="AF532" s="449"/>
      <c r="AG532" s="450"/>
    </row>
    <row r="533" spans="1:33" s="27" customFormat="1" ht="15" customHeight="1">
      <c r="A533" s="146" t="s">
        <v>525</v>
      </c>
      <c r="B533" s="476" t="s">
        <v>821</v>
      </c>
      <c r="C533" s="476"/>
      <c r="D533" s="478" t="s">
        <v>485</v>
      </c>
      <c r="E533" s="145">
        <v>15</v>
      </c>
      <c r="F533" s="447">
        <f t="shared" si="36"/>
        <v>0</v>
      </c>
      <c r="G533" s="448">
        <f t="shared" si="37"/>
        <v>0</v>
      </c>
      <c r="H533" s="449"/>
      <c r="I533" s="450">
        <v>0</v>
      </c>
      <c r="J533" s="449"/>
      <c r="K533" s="450">
        <v>0</v>
      </c>
      <c r="L533" s="449"/>
      <c r="M533" s="449"/>
      <c r="N533" s="449"/>
      <c r="O533" s="450">
        <v>0</v>
      </c>
      <c r="P533" s="450">
        <v>0</v>
      </c>
      <c r="Q533" s="450">
        <v>0</v>
      </c>
      <c r="R533" s="449"/>
      <c r="S533" s="450">
        <v>0</v>
      </c>
      <c r="T533" s="447">
        <f t="shared" si="38"/>
        <v>0</v>
      </c>
      <c r="U533" s="448">
        <f t="shared" si="39"/>
        <v>0</v>
      </c>
      <c r="V533" s="449"/>
      <c r="W533" s="450"/>
      <c r="X533" s="449"/>
      <c r="Y533" s="450"/>
      <c r="Z533" s="449"/>
      <c r="AA533" s="449"/>
      <c r="AB533" s="449"/>
      <c r="AC533" s="450"/>
      <c r="AD533" s="450"/>
      <c r="AE533" s="450"/>
      <c r="AF533" s="449"/>
      <c r="AG533" s="450"/>
    </row>
    <row r="534" spans="1:33" s="27" customFormat="1" ht="12.75" customHeight="1">
      <c r="A534" s="144" t="s">
        <v>525</v>
      </c>
      <c r="B534" s="476" t="s">
        <v>562</v>
      </c>
      <c r="C534" s="476"/>
      <c r="D534" s="477">
        <v>238096</v>
      </c>
      <c r="E534" s="145">
        <v>15</v>
      </c>
      <c r="F534" s="447">
        <f t="shared" si="36"/>
        <v>0</v>
      </c>
      <c r="G534" s="448">
        <f t="shared" si="37"/>
        <v>0</v>
      </c>
      <c r="H534" s="449"/>
      <c r="I534" s="450">
        <v>0</v>
      </c>
      <c r="J534" s="449"/>
      <c r="K534" s="450">
        <v>0</v>
      </c>
      <c r="L534" s="449"/>
      <c r="M534" s="449"/>
      <c r="N534" s="449"/>
      <c r="O534" s="450">
        <v>0</v>
      </c>
      <c r="P534" s="450">
        <v>0</v>
      </c>
      <c r="Q534" s="450">
        <v>0</v>
      </c>
      <c r="R534" s="449"/>
      <c r="S534" s="450">
        <v>0</v>
      </c>
      <c r="T534" s="447">
        <f t="shared" si="38"/>
        <v>0</v>
      </c>
      <c r="U534" s="448">
        <f t="shared" si="39"/>
        <v>0</v>
      </c>
      <c r="V534" s="449"/>
      <c r="W534" s="450"/>
      <c r="X534" s="449"/>
      <c r="Y534" s="450"/>
      <c r="Z534" s="449"/>
      <c r="AA534" s="449"/>
      <c r="AB534" s="449"/>
      <c r="AC534" s="450"/>
      <c r="AD534" s="450"/>
      <c r="AE534" s="450"/>
      <c r="AF534" s="449"/>
      <c r="AG534" s="450"/>
    </row>
    <row r="535" spans="1:33" customFormat="1" ht="15.5"/>
    <row r="536" spans="1:33" customFormat="1" ht="12.75" customHeight="1"/>
    <row r="537" spans="1:33" customFormat="1" ht="12.75" customHeight="1"/>
    <row r="538" spans="1:33" customFormat="1" ht="12.75" customHeight="1"/>
    <row r="539" spans="1:33" customFormat="1" ht="12.75" customHeight="1"/>
    <row r="540" spans="1:33" customFormat="1" ht="12.75" customHeight="1"/>
    <row r="541" spans="1:33" customFormat="1" ht="15.5"/>
    <row r="542" spans="1:33" customFormat="1" ht="12.75" customHeight="1"/>
    <row r="543" spans="1:33" customFormat="1" ht="12.75" customHeight="1"/>
    <row r="544" spans="1:33" customFormat="1" ht="12.75" customHeight="1"/>
    <row r="545" customFormat="1" ht="15.5"/>
    <row r="546" customFormat="1" ht="15.5"/>
    <row r="547" customFormat="1" ht="12.75" customHeight="1"/>
    <row r="548" customFormat="1" ht="12.75" customHeight="1"/>
    <row r="549" customFormat="1" ht="15.5"/>
    <row r="550" customFormat="1" ht="12.75" customHeight="1"/>
    <row r="551" customFormat="1" ht="12.75" customHeight="1"/>
    <row r="552" customFormat="1" ht="12.75" customHeight="1"/>
    <row r="553" customFormat="1" ht="12.75" customHeight="1"/>
    <row r="554" customFormat="1" ht="12.75" customHeight="1"/>
    <row r="555" customFormat="1" ht="12.75" customHeight="1"/>
    <row r="556" customFormat="1" ht="15.5"/>
    <row r="557" customFormat="1" ht="12.75" customHeight="1"/>
    <row r="558" customFormat="1" ht="12.75" customHeight="1"/>
    <row r="559" customFormat="1" ht="15.5"/>
    <row r="560" customFormat="1" ht="15.5"/>
    <row r="561" customFormat="1" ht="13.5" customHeight="1"/>
    <row r="562" customFormat="1" ht="12.75" customHeight="1"/>
    <row r="563" customFormat="1" ht="12.75" customHeight="1"/>
    <row r="564" customFormat="1" ht="12.75" customHeight="1"/>
    <row r="565" customFormat="1" ht="15.5"/>
    <row r="566" customFormat="1" ht="12.75" customHeight="1"/>
    <row r="567" customFormat="1" ht="15" customHeight="1"/>
    <row r="568" customFormat="1" ht="15.5"/>
    <row r="569" customFormat="1" ht="12.75" customHeight="1"/>
    <row r="570" customFormat="1" ht="15" customHeight="1"/>
    <row r="571" customFormat="1" ht="15" customHeight="1"/>
    <row r="572" customFormat="1" ht="15" customHeight="1"/>
    <row r="573" customFormat="1" ht="15" customHeight="1"/>
    <row r="574" customFormat="1" ht="15" customHeight="1"/>
    <row r="575" customFormat="1" ht="15" customHeight="1"/>
    <row r="576" customFormat="1" ht="15" customHeight="1"/>
    <row r="577" customFormat="1" ht="15" customHeight="1"/>
    <row r="578" customFormat="1" ht="15" customHeight="1"/>
    <row r="579" customFormat="1" ht="15" customHeight="1"/>
    <row r="580" customFormat="1" ht="15" customHeight="1"/>
    <row r="581" customFormat="1" ht="15" customHeight="1"/>
    <row r="582" customFormat="1" ht="15" customHeight="1"/>
    <row r="583" customFormat="1" ht="15" customHeight="1"/>
    <row r="584" customFormat="1" ht="15" customHeight="1"/>
    <row r="585" customFormat="1" ht="15" customHeight="1"/>
    <row r="586" customFormat="1" ht="15" customHeight="1"/>
    <row r="587" customFormat="1" ht="15" customHeight="1"/>
    <row r="588" customFormat="1" ht="15" customHeight="1"/>
    <row r="589" customFormat="1" ht="15" customHeight="1"/>
    <row r="590" customFormat="1" ht="15" customHeight="1"/>
    <row r="591" customFormat="1" ht="12.75" customHeight="1"/>
    <row r="592" customFormat="1" ht="12.75" customHeight="1"/>
    <row r="593" customFormat="1" ht="15.5"/>
    <row r="594" customFormat="1" ht="12.75" customHeight="1"/>
    <row r="595" customFormat="1" ht="12.75" customHeight="1"/>
    <row r="596" customFormat="1" ht="15.5"/>
    <row r="597" customFormat="1" ht="12.75" customHeight="1"/>
    <row r="598" customFormat="1" ht="12.75" customHeight="1"/>
    <row r="599" customFormat="1" ht="13.5" customHeight="1"/>
    <row r="600" customFormat="1" ht="12.75" customHeight="1"/>
    <row r="601" customFormat="1" ht="12.75" customHeight="1"/>
    <row r="602" customFormat="1" ht="12.75" customHeight="1"/>
    <row r="603" customFormat="1" ht="15.5"/>
    <row r="604" customFormat="1" ht="15" customHeight="1"/>
    <row r="605" customFormat="1" ht="15" customHeight="1"/>
    <row r="606" customFormat="1" ht="15" customHeight="1"/>
    <row r="607" customFormat="1" ht="15.5"/>
    <row r="608" customFormat="1" ht="12.75" customHeight="1"/>
    <row r="609" customFormat="1" ht="12.75" customHeight="1"/>
    <row r="610" customFormat="1" ht="15.5"/>
    <row r="611" customFormat="1" ht="15" customHeight="1"/>
    <row r="612" customFormat="1" ht="15" customHeight="1"/>
    <row r="613" customFormat="1" ht="12.75" customHeight="1"/>
    <row r="614" customFormat="1" ht="12.75" customHeight="1"/>
    <row r="615" customFormat="1" ht="12.75" customHeight="1"/>
    <row r="616" customFormat="1" ht="12.75" customHeight="1"/>
    <row r="617" customFormat="1" ht="12.75" customHeight="1"/>
    <row r="618" customFormat="1" ht="15.5"/>
    <row r="619" customFormat="1" ht="13.5" customHeight="1"/>
    <row r="620" customFormat="1" ht="15.5"/>
    <row r="621" customFormat="1" ht="15.5"/>
    <row r="622" customFormat="1" ht="15.5"/>
    <row r="623" customFormat="1" ht="15.5"/>
    <row r="624" customFormat="1" ht="15.5"/>
    <row r="625" customFormat="1" ht="15.5"/>
    <row r="626" customFormat="1" ht="15.5"/>
    <row r="627" customFormat="1" ht="15.5"/>
    <row r="628" customFormat="1" ht="15.5"/>
    <row r="629" customFormat="1" ht="15.5"/>
    <row r="630" customFormat="1" ht="15.5"/>
    <row r="631" customFormat="1" ht="15.5"/>
    <row r="632" customFormat="1" ht="15.5"/>
    <row r="633" customFormat="1" ht="15.5"/>
    <row r="634" customFormat="1" ht="15.5"/>
    <row r="635" customFormat="1" ht="15.5"/>
    <row r="636" customFormat="1" ht="15.5"/>
    <row r="637" customFormat="1" ht="15.5"/>
    <row r="638" customFormat="1" ht="15.5"/>
    <row r="639" customFormat="1" ht="15.5"/>
    <row r="640" customFormat="1" ht="15.5"/>
    <row r="641" spans="1:31" customFormat="1" ht="15.5"/>
    <row r="642" spans="1:31" customFormat="1" ht="15.5"/>
    <row r="643" spans="1:31" customFormat="1" ht="15.5"/>
    <row r="644" spans="1:31" customFormat="1" ht="15.5"/>
    <row r="645" spans="1:31" customFormat="1" ht="15.5"/>
    <row r="646" spans="1:31" customFormat="1" ht="15.5"/>
    <row r="647" spans="1:31" customFormat="1" ht="15.5"/>
    <row r="648" spans="1:31" customFormat="1" ht="15.5"/>
    <row r="649" spans="1:31" customFormat="1" ht="15.5"/>
    <row r="650" spans="1:31" customFormat="1" ht="15.5"/>
    <row r="651" spans="1:31" customFormat="1" ht="15.5"/>
    <row r="652" spans="1:31" customFormat="1" ht="15.5"/>
    <row r="653" spans="1:31" ht="12.5">
      <c r="A653" s="56"/>
      <c r="B653" s="56"/>
      <c r="C653" s="56"/>
      <c r="D653" s="56"/>
      <c r="E653" s="56"/>
      <c r="G653" s="56"/>
      <c r="I653" s="56"/>
      <c r="M653" s="56"/>
      <c r="N653" s="56"/>
      <c r="O653" s="56"/>
      <c r="Q653" s="56"/>
      <c r="S653" s="56"/>
      <c r="U653" s="56"/>
      <c r="W653" s="56"/>
      <c r="AA653" s="56"/>
      <c r="AB653" s="56"/>
      <c r="AC653" s="56"/>
      <c r="AE653" s="56"/>
    </row>
    <row r="654" spans="1:31" ht="12.5">
      <c r="A654" s="56"/>
      <c r="B654" s="56"/>
      <c r="C654" s="56"/>
      <c r="D654" s="56"/>
      <c r="E654" s="56"/>
      <c r="G654" s="56"/>
      <c r="I654" s="56"/>
      <c r="M654" s="56"/>
      <c r="N654" s="56"/>
      <c r="O654" s="56"/>
      <c r="Q654" s="56"/>
      <c r="S654" s="56"/>
      <c r="U654" s="56"/>
      <c r="W654" s="56"/>
      <c r="AA654" s="56"/>
      <c r="AB654" s="56"/>
      <c r="AC654" s="56"/>
      <c r="AE654" s="56"/>
    </row>
    <row r="655" spans="1:31" ht="12.5">
      <c r="A655" s="56"/>
      <c r="B655" s="56"/>
      <c r="C655" s="56"/>
      <c r="D655" s="56"/>
      <c r="E655" s="56"/>
      <c r="G655" s="56"/>
      <c r="I655" s="56"/>
      <c r="M655" s="56"/>
      <c r="N655" s="56"/>
      <c r="O655" s="56"/>
      <c r="Q655" s="56"/>
      <c r="S655" s="56"/>
      <c r="U655" s="56"/>
      <c r="W655" s="56"/>
      <c r="AA655" s="56"/>
      <c r="AB655" s="56"/>
      <c r="AC655" s="56"/>
      <c r="AE655" s="56"/>
    </row>
    <row r="656" spans="1:31" ht="12.5">
      <c r="A656" s="56"/>
      <c r="B656" s="56"/>
      <c r="C656" s="56"/>
      <c r="D656" s="56"/>
      <c r="E656" s="56"/>
      <c r="G656" s="56"/>
      <c r="I656" s="56"/>
      <c r="M656" s="56"/>
      <c r="N656" s="56"/>
      <c r="O656" s="56"/>
      <c r="Q656" s="56"/>
      <c r="S656" s="56"/>
      <c r="U656" s="56"/>
      <c r="W656" s="56"/>
      <c r="AA656" s="56"/>
      <c r="AB656" s="56"/>
      <c r="AC656" s="56"/>
      <c r="AE656" s="56"/>
    </row>
    <row r="657" spans="1:31" ht="12.5">
      <c r="A657" s="56"/>
      <c r="B657" s="56"/>
      <c r="C657" s="56"/>
      <c r="D657" s="56"/>
      <c r="E657" s="56"/>
      <c r="G657" s="56"/>
      <c r="I657" s="56"/>
      <c r="M657" s="56"/>
      <c r="N657" s="56"/>
      <c r="O657" s="56"/>
      <c r="Q657" s="56"/>
      <c r="S657" s="56"/>
      <c r="U657" s="56"/>
      <c r="W657" s="56"/>
      <c r="AA657" s="56"/>
      <c r="AB657" s="56"/>
      <c r="AC657" s="56"/>
      <c r="AE657" s="56"/>
    </row>
    <row r="658" spans="1:31" ht="12.5">
      <c r="A658" s="56"/>
      <c r="B658" s="56"/>
      <c r="C658" s="56"/>
      <c r="D658" s="56"/>
      <c r="E658" s="56"/>
      <c r="G658" s="56"/>
      <c r="I658" s="56"/>
      <c r="M658" s="56"/>
      <c r="N658" s="56"/>
      <c r="O658" s="56"/>
      <c r="Q658" s="56"/>
      <c r="S658" s="56"/>
      <c r="U658" s="56"/>
      <c r="W658" s="56"/>
      <c r="AA658" s="56"/>
      <c r="AB658" s="56"/>
      <c r="AC658" s="56"/>
      <c r="AE658" s="56"/>
    </row>
    <row r="659" spans="1:31" ht="12.5">
      <c r="A659" s="56"/>
      <c r="B659" s="56"/>
      <c r="C659" s="56"/>
      <c r="D659" s="56"/>
      <c r="E659" s="56"/>
      <c r="G659" s="56"/>
      <c r="I659" s="56"/>
      <c r="M659" s="56"/>
      <c r="N659" s="56"/>
      <c r="O659" s="56"/>
      <c r="Q659" s="56"/>
      <c r="S659" s="56"/>
      <c r="U659" s="56"/>
      <c r="W659" s="56"/>
      <c r="AA659" s="56"/>
      <c r="AB659" s="56"/>
      <c r="AC659" s="56"/>
      <c r="AE659" s="56"/>
    </row>
    <row r="660" spans="1:31" ht="12.5">
      <c r="A660" s="56"/>
      <c r="B660" s="56"/>
      <c r="C660" s="56"/>
      <c r="D660" s="56"/>
      <c r="E660" s="56"/>
      <c r="G660" s="56"/>
      <c r="I660" s="56"/>
      <c r="M660" s="56"/>
      <c r="N660" s="56"/>
      <c r="O660" s="56"/>
      <c r="Q660" s="56"/>
      <c r="S660" s="56"/>
      <c r="U660" s="56"/>
      <c r="W660" s="56"/>
      <c r="AA660" s="56"/>
      <c r="AB660" s="56"/>
      <c r="AC660" s="56"/>
      <c r="AE660" s="56"/>
    </row>
    <row r="661" spans="1:31" ht="12.5">
      <c r="A661" s="56"/>
      <c r="B661" s="56"/>
      <c r="C661" s="56"/>
      <c r="D661" s="56"/>
      <c r="E661" s="56"/>
      <c r="G661" s="56"/>
      <c r="I661" s="56"/>
      <c r="M661" s="56"/>
      <c r="N661" s="56"/>
      <c r="O661" s="56"/>
      <c r="Q661" s="56"/>
      <c r="S661" s="56"/>
      <c r="U661" s="56"/>
      <c r="W661" s="56"/>
      <c r="AA661" s="56"/>
      <c r="AB661" s="56"/>
      <c r="AC661" s="56"/>
      <c r="AE661" s="56"/>
    </row>
    <row r="662" spans="1:31" ht="12.5">
      <c r="A662" s="56"/>
      <c r="B662" s="56"/>
      <c r="C662" s="56"/>
      <c r="D662" s="56"/>
      <c r="E662" s="56"/>
      <c r="G662" s="56"/>
      <c r="I662" s="56"/>
      <c r="M662" s="56"/>
      <c r="N662" s="56"/>
      <c r="O662" s="56"/>
      <c r="Q662" s="56"/>
      <c r="S662" s="56"/>
      <c r="U662" s="56"/>
      <c r="W662" s="56"/>
      <c r="AA662" s="56"/>
      <c r="AB662" s="56"/>
      <c r="AC662" s="56"/>
      <c r="AE662" s="56"/>
    </row>
    <row r="663" spans="1:31" ht="12.5">
      <c r="A663" s="56"/>
      <c r="B663" s="56"/>
      <c r="C663" s="56"/>
      <c r="D663" s="56"/>
      <c r="E663" s="56"/>
      <c r="G663" s="56"/>
      <c r="I663" s="56"/>
      <c r="M663" s="56"/>
      <c r="N663" s="56"/>
      <c r="O663" s="56"/>
      <c r="Q663" s="56"/>
      <c r="S663" s="56"/>
      <c r="U663" s="56"/>
      <c r="W663" s="56"/>
      <c r="AA663" s="56"/>
      <c r="AB663" s="56"/>
      <c r="AC663" s="56"/>
      <c r="AE663" s="56"/>
    </row>
    <row r="664" spans="1:31" ht="12.5">
      <c r="A664" s="56"/>
      <c r="B664" s="56"/>
      <c r="C664" s="56"/>
      <c r="D664" s="56"/>
      <c r="E664" s="56"/>
      <c r="G664" s="56"/>
      <c r="I664" s="56"/>
      <c r="M664" s="56"/>
      <c r="N664" s="56"/>
      <c r="O664" s="56"/>
      <c r="Q664" s="56"/>
      <c r="S664" s="56"/>
      <c r="U664" s="56"/>
      <c r="W664" s="56"/>
      <c r="AA664" s="56"/>
      <c r="AB664" s="56"/>
      <c r="AC664" s="56"/>
      <c r="AE664" s="56"/>
    </row>
    <row r="665" spans="1:31" ht="12.5">
      <c r="A665" s="56"/>
      <c r="B665" s="56"/>
      <c r="C665" s="56"/>
      <c r="D665" s="56"/>
      <c r="E665" s="56"/>
      <c r="G665" s="56"/>
      <c r="I665" s="56"/>
      <c r="M665" s="56"/>
      <c r="N665" s="56"/>
      <c r="O665" s="56"/>
      <c r="Q665" s="56"/>
      <c r="S665" s="56"/>
      <c r="U665" s="56"/>
      <c r="W665" s="56"/>
      <c r="AA665" s="56"/>
      <c r="AB665" s="56"/>
      <c r="AC665" s="56"/>
      <c r="AE665" s="56"/>
    </row>
    <row r="666" spans="1:31" ht="12.5">
      <c r="A666" s="56"/>
      <c r="B666" s="56"/>
      <c r="C666" s="56"/>
      <c r="D666" s="56"/>
      <c r="E666" s="56"/>
      <c r="G666" s="56"/>
      <c r="I666" s="56"/>
      <c r="M666" s="56"/>
      <c r="N666" s="56"/>
      <c r="O666" s="56"/>
      <c r="Q666" s="56"/>
      <c r="S666" s="56"/>
      <c r="U666" s="56"/>
      <c r="W666" s="56"/>
      <c r="AA666" s="56"/>
      <c r="AB666" s="56"/>
      <c r="AC666" s="56"/>
      <c r="AE666" s="56"/>
    </row>
    <row r="667" spans="1:31" ht="12.5">
      <c r="A667" s="56"/>
      <c r="B667" s="56"/>
      <c r="C667" s="56"/>
      <c r="D667" s="56"/>
      <c r="E667" s="56"/>
      <c r="G667" s="56"/>
      <c r="I667" s="56"/>
      <c r="M667" s="56"/>
      <c r="N667" s="56"/>
      <c r="O667" s="56"/>
      <c r="Q667" s="56"/>
      <c r="S667" s="56"/>
      <c r="U667" s="56"/>
      <c r="W667" s="56"/>
      <c r="AA667" s="56"/>
      <c r="AB667" s="56"/>
      <c r="AC667" s="56"/>
      <c r="AE667" s="56"/>
    </row>
    <row r="668" spans="1:31" ht="12.5">
      <c r="A668" s="56"/>
      <c r="B668" s="56"/>
      <c r="C668" s="56"/>
      <c r="D668" s="56"/>
      <c r="E668" s="56"/>
      <c r="G668" s="56"/>
      <c r="I668" s="56"/>
      <c r="M668" s="56"/>
      <c r="N668" s="56"/>
      <c r="O668" s="56"/>
      <c r="Q668" s="56"/>
      <c r="S668" s="56"/>
      <c r="U668" s="56"/>
      <c r="W668" s="56"/>
      <c r="AA668" s="56"/>
      <c r="AB668" s="56"/>
      <c r="AC668" s="56"/>
      <c r="AE668" s="56"/>
    </row>
    <row r="669" spans="1:31" ht="12.5">
      <c r="A669" s="56"/>
      <c r="B669" s="56"/>
      <c r="C669" s="56"/>
      <c r="D669" s="56"/>
      <c r="E669" s="56"/>
      <c r="G669" s="56"/>
      <c r="I669" s="56"/>
      <c r="M669" s="56"/>
      <c r="N669" s="56"/>
      <c r="O669" s="56"/>
      <c r="Q669" s="56"/>
      <c r="S669" s="56"/>
      <c r="U669" s="56"/>
      <c r="W669" s="56"/>
      <c r="AA669" s="56"/>
      <c r="AB669" s="56"/>
      <c r="AC669" s="56"/>
      <c r="AE669" s="56"/>
    </row>
  </sheetData>
  <sheetProtection insertRows="0" deleteRows="0"/>
  <sortState xmlns:xlrd2="http://schemas.microsoft.com/office/spreadsheetml/2017/richdata2" ref="A7:AG9">
    <sortCondition ref="A7:A9"/>
    <sortCondition ref="E7:E9"/>
    <sortCondition ref="B7:B9"/>
  </sortState>
  <mergeCells count="1">
    <mergeCell ref="H4:I4"/>
  </mergeCells>
  <pageMargins left="0.7" right="0.7" top="0.75" bottom="0.75" header="0.3" footer="0.3"/>
  <pageSetup orientation="portrait"/>
  <legacyDrawing r:id="rId1"/>
  <extLst>
    <x:ext xmlns:x="http://schemas.openxmlformats.org/spreadsheetml/2006/main" xmlns:mx="http://schemas.microsoft.com/office/mac/excel/2008/main" uri="{64002731-A6B0-56B0-2670-7721B7C09600}">
      <mx:PLV Mode="0" OnePage="0" WScale="0"/>
    </x: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AD59-774D-4951-A781-DE16019A6B9D}">
  <sheetPr>
    <tabColor rgb="FFFFFF00"/>
  </sheetPr>
  <dimension ref="A3:W617"/>
  <sheetViews>
    <sheetView workbookViewId="0">
      <selection sqref="A1:XFD1048576"/>
    </sheetView>
  </sheetViews>
  <sheetFormatPr defaultColWidth="8.84375" defaultRowHeight="14.5"/>
  <cols>
    <col min="1" max="1" width="4.69140625" style="393" customWidth="1"/>
    <col min="2" max="2" width="16.84375" style="393" customWidth="1"/>
    <col min="3" max="9" width="10" style="393" customWidth="1"/>
    <col min="10" max="10" width="12.4609375" style="393" customWidth="1"/>
    <col min="11" max="14" width="8.69140625" style="393" customWidth="1"/>
    <col min="15" max="15" width="11.07421875" style="393" customWidth="1"/>
    <col min="16" max="17" width="8.765625" style="393" customWidth="1"/>
    <col min="18" max="18" width="11.3046875" style="393" customWidth="1"/>
    <col min="19" max="21" width="8.84375" style="393" customWidth="1"/>
    <col min="22" max="22" width="7.07421875" style="393" customWidth="1"/>
    <col min="23" max="16384" width="8.84375" style="393"/>
  </cols>
  <sheetData>
    <row r="3" spans="1:22">
      <c r="A3" s="394"/>
      <c r="B3" s="395"/>
      <c r="C3" s="394"/>
      <c r="D3" s="396"/>
      <c r="E3" s="396"/>
      <c r="F3" s="397"/>
      <c r="G3" s="397"/>
      <c r="H3" s="397"/>
      <c r="I3" s="397"/>
      <c r="J3" s="397"/>
      <c r="K3" s="397"/>
      <c r="L3" s="397"/>
      <c r="M3" s="397"/>
      <c r="N3" s="397"/>
      <c r="O3" s="397"/>
      <c r="P3" s="397"/>
      <c r="Q3" s="397"/>
      <c r="R3" s="397"/>
      <c r="S3" s="398"/>
      <c r="T3" s="398"/>
      <c r="U3" s="397"/>
      <c r="V3" s="399"/>
    </row>
    <row r="4" spans="1:22">
      <c r="A4" s="400"/>
      <c r="B4" s="401"/>
      <c r="C4" s="400"/>
      <c r="D4" s="402"/>
      <c r="E4" s="401"/>
      <c r="F4" s="401"/>
      <c r="G4" s="401"/>
      <c r="H4" s="401"/>
      <c r="I4" s="401"/>
      <c r="J4" s="394"/>
      <c r="K4" s="403"/>
      <c r="L4" s="402"/>
      <c r="M4" s="401"/>
      <c r="N4" s="401"/>
      <c r="O4" s="394"/>
      <c r="P4" s="394"/>
      <c r="Q4" s="395"/>
      <c r="R4" s="394"/>
      <c r="S4" s="404"/>
      <c r="T4" s="404"/>
      <c r="U4" s="405"/>
      <c r="V4" s="399"/>
    </row>
    <row r="5" spans="1:22">
      <c r="A5" s="394"/>
      <c r="B5" s="394"/>
      <c r="C5" s="394"/>
      <c r="D5" s="406"/>
      <c r="E5" s="406"/>
      <c r="F5" s="406"/>
      <c r="G5" s="406"/>
      <c r="H5" s="406"/>
      <c r="I5" s="406"/>
      <c r="J5" s="407"/>
      <c r="K5" s="408"/>
      <c r="L5" s="406"/>
      <c r="M5" s="406"/>
      <c r="N5" s="406"/>
      <c r="O5" s="407"/>
      <c r="P5" s="409"/>
      <c r="R5" s="407"/>
      <c r="S5" s="410"/>
      <c r="T5" s="410"/>
      <c r="U5" s="411"/>
      <c r="V5" s="399"/>
    </row>
    <row r="6" spans="1:22">
      <c r="A6" s="412"/>
      <c r="B6" s="394"/>
      <c r="C6" s="413"/>
      <c r="D6" s="414"/>
      <c r="E6" s="414"/>
      <c r="F6" s="414"/>
      <c r="G6" s="414"/>
      <c r="H6" s="414"/>
      <c r="I6" s="414"/>
      <c r="J6" s="415"/>
      <c r="K6" s="415"/>
      <c r="L6" s="414"/>
      <c r="M6" s="414"/>
      <c r="N6" s="414"/>
      <c r="O6" s="415"/>
      <c r="P6" s="415"/>
      <c r="Q6" s="414"/>
      <c r="R6" s="415"/>
      <c r="S6" s="415"/>
      <c r="T6" s="415"/>
      <c r="U6" s="415"/>
      <c r="V6" s="399"/>
    </row>
    <row r="7" spans="1:22">
      <c r="A7" s="416"/>
      <c r="B7" s="417"/>
      <c r="C7" s="418"/>
      <c r="D7" s="419"/>
      <c r="E7" s="419"/>
      <c r="F7" s="419"/>
      <c r="G7" s="419"/>
      <c r="H7" s="419"/>
      <c r="I7" s="419"/>
      <c r="J7" s="420"/>
      <c r="K7" s="420"/>
      <c r="L7" s="419"/>
      <c r="M7" s="419"/>
      <c r="N7" s="419"/>
      <c r="O7" s="420"/>
      <c r="P7" s="420"/>
      <c r="Q7" s="419"/>
      <c r="R7" s="420"/>
      <c r="S7" s="420"/>
      <c r="T7" s="420"/>
      <c r="U7" s="420"/>
      <c r="V7" s="421"/>
    </row>
    <row r="8" spans="1:22">
      <c r="A8" s="416"/>
      <c r="B8" s="422"/>
      <c r="C8" s="423"/>
      <c r="D8" s="424"/>
      <c r="E8" s="424"/>
      <c r="F8" s="424"/>
      <c r="G8" s="424"/>
      <c r="H8" s="424"/>
      <c r="I8" s="424"/>
      <c r="J8" s="425"/>
      <c r="K8" s="425"/>
      <c r="L8" s="424"/>
      <c r="M8" s="424"/>
      <c r="N8" s="424"/>
      <c r="O8" s="425"/>
      <c r="P8" s="425"/>
      <c r="Q8" s="424"/>
      <c r="R8" s="425"/>
      <c r="S8" s="425"/>
      <c r="T8" s="425"/>
      <c r="U8" s="425"/>
      <c r="V8" s="421"/>
    </row>
    <row r="9" spans="1:22">
      <c r="A9" s="416"/>
      <c r="B9" s="394"/>
      <c r="C9" s="413"/>
      <c r="D9" s="414"/>
      <c r="E9" s="414"/>
      <c r="F9" s="414"/>
      <c r="G9" s="414"/>
      <c r="H9" s="414"/>
      <c r="I9" s="414"/>
      <c r="J9" s="415"/>
      <c r="K9" s="415"/>
      <c r="L9" s="414"/>
      <c r="M9" s="414"/>
      <c r="N9" s="414"/>
      <c r="O9" s="415"/>
      <c r="P9" s="415"/>
      <c r="Q9" s="414"/>
      <c r="R9" s="415"/>
      <c r="S9" s="415"/>
      <c r="T9" s="415"/>
      <c r="U9" s="415"/>
      <c r="V9" s="421"/>
    </row>
    <row r="10" spans="1:22">
      <c r="A10" s="416"/>
      <c r="B10" s="417"/>
      <c r="C10" s="418"/>
      <c r="D10" s="419"/>
      <c r="E10" s="419"/>
      <c r="F10" s="419"/>
      <c r="G10" s="419"/>
      <c r="H10" s="419"/>
      <c r="I10" s="419"/>
      <c r="J10" s="420"/>
      <c r="K10" s="420"/>
      <c r="L10" s="419"/>
      <c r="M10" s="419"/>
      <c r="N10" s="419"/>
      <c r="O10" s="420"/>
      <c r="P10" s="420"/>
      <c r="Q10" s="419"/>
      <c r="R10" s="420"/>
      <c r="S10" s="420"/>
      <c r="T10" s="420"/>
      <c r="U10" s="420"/>
      <c r="V10" s="421"/>
    </row>
    <row r="11" spans="1:22">
      <c r="A11" s="416"/>
      <c r="B11" s="422"/>
      <c r="C11" s="423"/>
      <c r="D11" s="424"/>
      <c r="E11" s="424"/>
      <c r="F11" s="424"/>
      <c r="G11" s="424"/>
      <c r="H11" s="424"/>
      <c r="I11" s="424"/>
      <c r="J11" s="426"/>
      <c r="K11" s="426"/>
      <c r="L11" s="424"/>
      <c r="M11" s="424"/>
      <c r="N11" s="424"/>
      <c r="O11" s="426"/>
      <c r="P11" s="426"/>
      <c r="Q11" s="424"/>
      <c r="R11" s="426"/>
      <c r="S11" s="426"/>
      <c r="T11" s="426"/>
      <c r="U11" s="426"/>
      <c r="V11" s="421"/>
    </row>
    <row r="12" spans="1:22">
      <c r="A12" s="416"/>
      <c r="B12" s="394"/>
      <c r="C12" s="413"/>
      <c r="D12" s="414"/>
      <c r="E12" s="414"/>
      <c r="F12" s="414"/>
      <c r="G12" s="414"/>
      <c r="H12" s="414"/>
      <c r="I12" s="414"/>
      <c r="J12" s="415"/>
      <c r="K12" s="415"/>
      <c r="L12" s="414"/>
      <c r="M12" s="414"/>
      <c r="N12" s="414"/>
      <c r="O12" s="415"/>
      <c r="P12" s="415"/>
      <c r="Q12" s="414"/>
      <c r="R12" s="415"/>
      <c r="S12" s="415"/>
      <c r="T12" s="415"/>
      <c r="U12" s="415"/>
      <c r="V12" s="421"/>
    </row>
    <row r="13" spans="1:22">
      <c r="A13" s="416"/>
      <c r="B13" s="417"/>
      <c r="C13" s="418"/>
      <c r="D13" s="419"/>
      <c r="E13" s="419"/>
      <c r="F13" s="419"/>
      <c r="G13" s="419"/>
      <c r="H13" s="419"/>
      <c r="I13" s="419"/>
      <c r="J13" s="420"/>
      <c r="K13" s="420"/>
      <c r="L13" s="419"/>
      <c r="M13" s="419"/>
      <c r="N13" s="419"/>
      <c r="O13" s="420"/>
      <c r="P13" s="420"/>
      <c r="Q13" s="419"/>
      <c r="R13" s="420"/>
      <c r="S13" s="420"/>
      <c r="T13" s="420"/>
      <c r="U13" s="420"/>
      <c r="V13" s="421"/>
    </row>
    <row r="14" spans="1:22" s="427" customFormat="1">
      <c r="A14" s="416"/>
      <c r="B14" s="422"/>
      <c r="C14" s="423"/>
      <c r="D14" s="424"/>
      <c r="E14" s="424"/>
      <c r="F14" s="424"/>
      <c r="G14" s="424"/>
      <c r="H14" s="424"/>
      <c r="I14" s="424"/>
      <c r="J14" s="426"/>
      <c r="K14" s="426"/>
      <c r="L14" s="424"/>
      <c r="M14" s="424"/>
      <c r="N14" s="424"/>
      <c r="O14" s="426"/>
      <c r="P14" s="426"/>
      <c r="Q14" s="424"/>
      <c r="R14" s="426"/>
      <c r="S14" s="426"/>
      <c r="T14" s="426"/>
      <c r="U14" s="426"/>
      <c r="V14" s="421"/>
    </row>
    <row r="15" spans="1:22">
      <c r="A15" s="416"/>
      <c r="B15" s="394"/>
      <c r="C15" s="413"/>
      <c r="D15" s="414"/>
      <c r="E15" s="414"/>
      <c r="F15" s="414"/>
      <c r="G15" s="414"/>
      <c r="H15" s="414"/>
      <c r="I15" s="414"/>
      <c r="J15" s="415"/>
      <c r="K15" s="415"/>
      <c r="L15" s="414"/>
      <c r="M15" s="414"/>
      <c r="N15" s="414"/>
      <c r="O15" s="415"/>
      <c r="P15" s="415"/>
      <c r="Q15" s="414"/>
      <c r="R15" s="415"/>
      <c r="S15" s="415"/>
      <c r="T15" s="415"/>
      <c r="U15" s="415"/>
      <c r="V15" s="421"/>
    </row>
    <row r="16" spans="1:22">
      <c r="A16" s="416"/>
      <c r="B16" s="417"/>
      <c r="C16" s="418"/>
      <c r="D16" s="419"/>
      <c r="E16" s="419"/>
      <c r="F16" s="419"/>
      <c r="G16" s="419"/>
      <c r="H16" s="419"/>
      <c r="I16" s="419"/>
      <c r="J16" s="420"/>
      <c r="K16" s="420"/>
      <c r="L16" s="419"/>
      <c r="M16" s="419"/>
      <c r="N16" s="419"/>
      <c r="O16" s="420"/>
      <c r="P16" s="420"/>
      <c r="Q16" s="419"/>
      <c r="R16" s="420"/>
      <c r="S16" s="420"/>
      <c r="T16" s="420"/>
      <c r="U16" s="420"/>
      <c r="V16" s="421"/>
    </row>
    <row r="17" spans="1:22">
      <c r="A17" s="416"/>
      <c r="B17" s="422"/>
      <c r="C17" s="423"/>
      <c r="D17" s="424"/>
      <c r="E17" s="424"/>
      <c r="F17" s="424"/>
      <c r="G17" s="424"/>
      <c r="H17" s="424"/>
      <c r="I17" s="424"/>
      <c r="J17" s="426"/>
      <c r="K17" s="426"/>
      <c r="L17" s="424"/>
      <c r="M17" s="424"/>
      <c r="N17" s="424"/>
      <c r="O17" s="426"/>
      <c r="P17" s="426"/>
      <c r="Q17" s="424"/>
      <c r="R17" s="426"/>
      <c r="S17" s="426"/>
      <c r="T17" s="426"/>
      <c r="U17" s="426"/>
      <c r="V17" s="421"/>
    </row>
    <row r="18" spans="1:22">
      <c r="A18" s="416"/>
      <c r="B18" s="394"/>
      <c r="C18" s="413"/>
      <c r="D18" s="414"/>
      <c r="E18" s="414"/>
      <c r="F18" s="414"/>
      <c r="G18" s="414"/>
      <c r="H18" s="414"/>
      <c r="I18" s="414"/>
      <c r="J18" s="415"/>
      <c r="K18" s="415"/>
      <c r="L18" s="414"/>
      <c r="M18" s="414"/>
      <c r="N18" s="414"/>
      <c r="O18" s="415"/>
      <c r="P18" s="415"/>
      <c r="Q18" s="414"/>
      <c r="R18" s="415"/>
      <c r="S18" s="415"/>
      <c r="T18" s="415"/>
      <c r="U18" s="415"/>
      <c r="V18" s="421"/>
    </row>
    <row r="19" spans="1:22">
      <c r="A19" s="416"/>
      <c r="B19" s="417"/>
      <c r="C19" s="418"/>
      <c r="D19" s="419"/>
      <c r="E19" s="419"/>
      <c r="F19" s="419"/>
      <c r="G19" s="419"/>
      <c r="H19" s="419"/>
      <c r="I19" s="419"/>
      <c r="J19" s="420"/>
      <c r="K19" s="420"/>
      <c r="L19" s="419"/>
      <c r="M19" s="419"/>
      <c r="N19" s="419"/>
      <c r="O19" s="420"/>
      <c r="P19" s="420"/>
      <c r="Q19" s="419"/>
      <c r="R19" s="420"/>
      <c r="S19" s="420"/>
      <c r="T19" s="420"/>
      <c r="U19" s="420"/>
      <c r="V19" s="421"/>
    </row>
    <row r="20" spans="1:22">
      <c r="A20" s="416"/>
      <c r="B20" s="422"/>
      <c r="C20" s="423"/>
      <c r="D20" s="424"/>
      <c r="E20" s="424"/>
      <c r="F20" s="424"/>
      <c r="G20" s="424"/>
      <c r="H20" s="424"/>
      <c r="I20" s="424"/>
      <c r="J20" s="426"/>
      <c r="K20" s="426"/>
      <c r="L20" s="424"/>
      <c r="M20" s="424"/>
      <c r="N20" s="424"/>
      <c r="O20" s="426"/>
      <c r="P20" s="426"/>
      <c r="Q20" s="424"/>
      <c r="R20" s="426"/>
      <c r="S20" s="426"/>
      <c r="T20" s="426"/>
      <c r="U20" s="426"/>
      <c r="V20" s="421"/>
    </row>
    <row r="21" spans="1:22">
      <c r="A21" s="416"/>
      <c r="B21" s="394"/>
      <c r="C21" s="413"/>
      <c r="D21" s="414"/>
      <c r="E21" s="414"/>
      <c r="F21" s="414"/>
      <c r="G21" s="414"/>
      <c r="H21" s="414"/>
      <c r="I21" s="414"/>
      <c r="J21" s="415"/>
      <c r="K21" s="415"/>
      <c r="L21" s="414"/>
      <c r="M21" s="414"/>
      <c r="N21" s="414"/>
      <c r="O21" s="415"/>
      <c r="P21" s="415"/>
      <c r="Q21" s="414"/>
      <c r="R21" s="415"/>
      <c r="S21" s="415"/>
      <c r="T21" s="415"/>
      <c r="U21" s="415"/>
      <c r="V21" s="421"/>
    </row>
    <row r="22" spans="1:22">
      <c r="A22" s="416"/>
      <c r="B22" s="417"/>
      <c r="C22" s="418"/>
      <c r="D22" s="419"/>
      <c r="E22" s="419"/>
      <c r="F22" s="419"/>
      <c r="G22" s="419"/>
      <c r="H22" s="419"/>
      <c r="I22" s="419"/>
      <c r="J22" s="420"/>
      <c r="K22" s="420"/>
      <c r="L22" s="419"/>
      <c r="M22" s="419"/>
      <c r="N22" s="419"/>
      <c r="O22" s="420"/>
      <c r="P22" s="420"/>
      <c r="Q22" s="419"/>
      <c r="R22" s="420"/>
      <c r="S22" s="420"/>
      <c r="T22" s="420"/>
      <c r="U22" s="420"/>
      <c r="V22" s="421"/>
    </row>
    <row r="23" spans="1:22" ht="15" thickBot="1">
      <c r="A23" s="416"/>
      <c r="B23" s="428"/>
      <c r="C23" s="429"/>
      <c r="D23" s="430"/>
      <c r="E23" s="430"/>
      <c r="F23" s="430"/>
      <c r="G23" s="430"/>
      <c r="H23" s="430"/>
      <c r="I23" s="430"/>
      <c r="J23" s="431"/>
      <c r="K23" s="431"/>
      <c r="L23" s="430"/>
      <c r="M23" s="430"/>
      <c r="N23" s="430"/>
      <c r="O23" s="431"/>
      <c r="P23" s="431"/>
      <c r="Q23" s="430"/>
      <c r="R23" s="431"/>
      <c r="S23" s="431"/>
      <c r="T23" s="431"/>
      <c r="U23" s="431"/>
      <c r="V23" s="421"/>
    </row>
    <row r="24" spans="1:22" ht="15" thickTop="1">
      <c r="A24" s="416"/>
      <c r="B24" s="417"/>
      <c r="C24" s="418"/>
      <c r="D24" s="419"/>
      <c r="E24" s="419"/>
      <c r="F24" s="419"/>
      <c r="G24" s="419"/>
      <c r="H24" s="419"/>
      <c r="I24" s="419"/>
      <c r="J24" s="420"/>
      <c r="K24" s="420"/>
      <c r="L24" s="419"/>
      <c r="M24" s="419"/>
      <c r="N24" s="419"/>
      <c r="O24" s="420"/>
      <c r="P24" s="420"/>
      <c r="Q24" s="419"/>
      <c r="R24" s="420"/>
      <c r="S24" s="420"/>
      <c r="T24" s="420"/>
      <c r="U24" s="420"/>
      <c r="V24" s="421"/>
    </row>
    <row r="25" spans="1:22">
      <c r="A25" s="416"/>
      <c r="B25" s="417"/>
      <c r="C25" s="418"/>
      <c r="D25" s="419"/>
      <c r="E25" s="419"/>
      <c r="F25" s="419"/>
      <c r="G25" s="419"/>
      <c r="H25" s="419"/>
      <c r="I25" s="419"/>
      <c r="J25" s="420"/>
      <c r="K25" s="420"/>
      <c r="L25" s="419"/>
      <c r="M25" s="419"/>
      <c r="N25" s="419"/>
      <c r="O25" s="420"/>
      <c r="P25" s="420"/>
      <c r="Q25" s="419"/>
      <c r="R25" s="420"/>
      <c r="S25" s="420"/>
      <c r="T25" s="420"/>
      <c r="U25" s="420"/>
      <c r="V25" s="421"/>
    </row>
    <row r="26" spans="1:22">
      <c r="A26" s="416"/>
      <c r="B26" s="422"/>
      <c r="C26" s="423"/>
      <c r="D26" s="424"/>
      <c r="E26" s="424"/>
      <c r="F26" s="424"/>
      <c r="G26" s="424"/>
      <c r="H26" s="424"/>
      <c r="I26" s="424"/>
      <c r="J26" s="426"/>
      <c r="K26" s="426"/>
      <c r="L26" s="424"/>
      <c r="M26" s="424"/>
      <c r="N26" s="424"/>
      <c r="O26" s="426"/>
      <c r="P26" s="426"/>
      <c r="Q26" s="424"/>
      <c r="R26" s="426"/>
      <c r="S26" s="426"/>
      <c r="T26" s="426"/>
      <c r="U26" s="426"/>
      <c r="V26" s="421"/>
    </row>
    <row r="27" spans="1:22">
      <c r="A27" s="416"/>
      <c r="B27" s="394"/>
      <c r="C27" s="413"/>
      <c r="D27" s="414"/>
      <c r="E27" s="414"/>
      <c r="F27" s="414"/>
      <c r="G27" s="414"/>
      <c r="H27" s="414"/>
      <c r="I27" s="414"/>
      <c r="J27" s="415"/>
      <c r="K27" s="415"/>
      <c r="L27" s="414"/>
      <c r="M27" s="414"/>
      <c r="N27" s="414"/>
      <c r="O27" s="415"/>
      <c r="P27" s="415"/>
      <c r="Q27" s="414"/>
      <c r="R27" s="415"/>
      <c r="S27" s="415"/>
      <c r="T27" s="415"/>
      <c r="U27" s="415"/>
      <c r="V27" s="421"/>
    </row>
    <row r="28" spans="1:22">
      <c r="A28" s="416"/>
      <c r="B28" s="417"/>
      <c r="C28" s="418"/>
      <c r="D28" s="419"/>
      <c r="E28" s="419"/>
      <c r="F28" s="419"/>
      <c r="G28" s="419"/>
      <c r="H28" s="419"/>
      <c r="I28" s="419"/>
      <c r="J28" s="420"/>
      <c r="K28" s="420"/>
      <c r="L28" s="419"/>
      <c r="M28" s="419"/>
      <c r="N28" s="419"/>
      <c r="O28" s="420"/>
      <c r="P28" s="420"/>
      <c r="Q28" s="419"/>
      <c r="R28" s="420"/>
      <c r="S28" s="420"/>
      <c r="T28" s="420"/>
      <c r="U28" s="420"/>
      <c r="V28" s="421"/>
    </row>
    <row r="29" spans="1:22">
      <c r="A29" s="416"/>
      <c r="B29" s="422"/>
      <c r="C29" s="423"/>
      <c r="D29" s="424"/>
      <c r="E29" s="424"/>
      <c r="F29" s="424"/>
      <c r="G29" s="424"/>
      <c r="H29" s="424"/>
      <c r="I29" s="424"/>
      <c r="J29" s="426"/>
      <c r="K29" s="426"/>
      <c r="L29" s="424"/>
      <c r="M29" s="424"/>
      <c r="N29" s="424"/>
      <c r="O29" s="426"/>
      <c r="P29" s="426"/>
      <c r="Q29" s="424"/>
      <c r="R29" s="426"/>
      <c r="S29" s="426"/>
      <c r="T29" s="426"/>
      <c r="U29" s="426"/>
      <c r="V29" s="421"/>
    </row>
    <row r="30" spans="1:22">
      <c r="A30" s="416"/>
      <c r="B30" s="394"/>
      <c r="C30" s="413"/>
      <c r="D30" s="414"/>
      <c r="E30" s="414"/>
      <c r="F30" s="414"/>
      <c r="G30" s="414"/>
      <c r="H30" s="414"/>
      <c r="I30" s="414"/>
      <c r="J30" s="415"/>
      <c r="K30" s="415"/>
      <c r="L30" s="414"/>
      <c r="M30" s="414"/>
      <c r="N30" s="414"/>
      <c r="O30" s="415"/>
      <c r="P30" s="415"/>
      <c r="Q30" s="414"/>
      <c r="R30" s="415"/>
      <c r="S30" s="415"/>
      <c r="T30" s="415"/>
      <c r="U30" s="415"/>
      <c r="V30" s="421"/>
    </row>
    <row r="31" spans="1:22">
      <c r="A31" s="416"/>
      <c r="B31" s="417"/>
      <c r="C31" s="418"/>
      <c r="D31" s="419"/>
      <c r="E31" s="419"/>
      <c r="F31" s="419"/>
      <c r="G31" s="419"/>
      <c r="H31" s="419"/>
      <c r="I31" s="419"/>
      <c r="J31" s="420"/>
      <c r="K31" s="420"/>
      <c r="L31" s="419"/>
      <c r="M31" s="419"/>
      <c r="N31" s="419"/>
      <c r="O31" s="420"/>
      <c r="P31" s="420"/>
      <c r="Q31" s="419"/>
      <c r="R31" s="420"/>
      <c r="S31" s="420"/>
      <c r="T31" s="420"/>
      <c r="U31" s="420"/>
      <c r="V31" s="421"/>
    </row>
    <row r="32" spans="1:22">
      <c r="A32" s="416"/>
      <c r="B32" s="422"/>
      <c r="C32" s="423"/>
      <c r="D32" s="424"/>
      <c r="E32" s="424"/>
      <c r="F32" s="424"/>
      <c r="G32" s="424"/>
      <c r="H32" s="424"/>
      <c r="I32" s="424"/>
      <c r="J32" s="426"/>
      <c r="K32" s="426"/>
      <c r="L32" s="424"/>
      <c r="M32" s="424"/>
      <c r="N32" s="424"/>
      <c r="O32" s="426"/>
      <c r="P32" s="426"/>
      <c r="Q32" s="424"/>
      <c r="R32" s="426"/>
      <c r="S32" s="426"/>
      <c r="T32" s="426"/>
      <c r="U32" s="426"/>
      <c r="V32" s="421"/>
    </row>
    <row r="33" spans="1:22">
      <c r="A33" s="416"/>
      <c r="B33" s="394"/>
      <c r="C33" s="413"/>
      <c r="D33" s="414"/>
      <c r="E33" s="414"/>
      <c r="F33" s="414"/>
      <c r="G33" s="414"/>
      <c r="H33" s="414"/>
      <c r="I33" s="414"/>
      <c r="J33" s="415"/>
      <c r="K33" s="415"/>
      <c r="L33" s="414"/>
      <c r="M33" s="414"/>
      <c r="N33" s="414"/>
      <c r="O33" s="415"/>
      <c r="P33" s="415"/>
      <c r="Q33" s="414"/>
      <c r="R33" s="415"/>
      <c r="S33" s="415"/>
      <c r="T33" s="415"/>
      <c r="U33" s="415"/>
      <c r="V33" s="421"/>
    </row>
    <row r="34" spans="1:22">
      <c r="A34" s="416"/>
      <c r="B34" s="417"/>
      <c r="C34" s="418"/>
      <c r="D34" s="419"/>
      <c r="E34" s="419"/>
      <c r="F34" s="419"/>
      <c r="G34" s="419"/>
      <c r="H34" s="419"/>
      <c r="I34" s="419"/>
      <c r="J34" s="420"/>
      <c r="K34" s="420"/>
      <c r="L34" s="419"/>
      <c r="M34" s="419"/>
      <c r="N34" s="419"/>
      <c r="O34" s="420"/>
      <c r="P34" s="420"/>
      <c r="Q34" s="419"/>
      <c r="R34" s="420"/>
      <c r="S34" s="420"/>
      <c r="T34" s="420"/>
      <c r="U34" s="420"/>
      <c r="V34" s="421"/>
    </row>
    <row r="35" spans="1:22">
      <c r="A35" s="416"/>
      <c r="B35" s="422"/>
      <c r="C35" s="423"/>
      <c r="D35" s="424"/>
      <c r="E35" s="424"/>
      <c r="F35" s="424"/>
      <c r="G35" s="424"/>
      <c r="H35" s="424"/>
      <c r="I35" s="424"/>
      <c r="J35" s="426"/>
      <c r="K35" s="426"/>
      <c r="L35" s="424"/>
      <c r="M35" s="424"/>
      <c r="N35" s="424"/>
      <c r="O35" s="426"/>
      <c r="P35" s="426"/>
      <c r="Q35" s="424"/>
      <c r="R35" s="426"/>
      <c r="S35" s="426"/>
      <c r="T35" s="426"/>
      <c r="U35" s="426"/>
      <c r="V35" s="421"/>
    </row>
    <row r="36" spans="1:22">
      <c r="A36" s="416"/>
      <c r="B36" s="394"/>
      <c r="C36" s="413"/>
      <c r="D36" s="414"/>
      <c r="E36" s="414"/>
      <c r="F36" s="414"/>
      <c r="G36" s="414"/>
      <c r="H36" s="414"/>
      <c r="I36" s="414"/>
      <c r="J36" s="415"/>
      <c r="K36" s="415"/>
      <c r="L36" s="414"/>
      <c r="M36" s="414"/>
      <c r="N36" s="414"/>
      <c r="O36" s="415"/>
      <c r="P36" s="415"/>
      <c r="Q36" s="414"/>
      <c r="R36" s="415"/>
      <c r="S36" s="415"/>
      <c r="T36" s="415"/>
      <c r="U36" s="415"/>
      <c r="V36" s="421"/>
    </row>
    <row r="37" spans="1:22">
      <c r="A37" s="416"/>
      <c r="B37" s="417"/>
      <c r="C37" s="418"/>
      <c r="D37" s="419"/>
      <c r="E37" s="419"/>
      <c r="F37" s="419"/>
      <c r="G37" s="419"/>
      <c r="H37" s="419"/>
      <c r="I37" s="419"/>
      <c r="J37" s="420"/>
      <c r="K37" s="420"/>
      <c r="L37" s="419"/>
      <c r="M37" s="419"/>
      <c r="N37" s="419"/>
      <c r="O37" s="420"/>
      <c r="P37" s="420"/>
      <c r="Q37" s="419"/>
      <c r="R37" s="420"/>
      <c r="S37" s="420"/>
      <c r="T37" s="420"/>
      <c r="U37" s="420"/>
      <c r="V37" s="421"/>
    </row>
    <row r="38" spans="1:22">
      <c r="A38" s="416"/>
      <c r="B38" s="422"/>
      <c r="C38" s="423"/>
      <c r="D38" s="424"/>
      <c r="E38" s="424"/>
      <c r="F38" s="424"/>
      <c r="G38" s="424"/>
      <c r="H38" s="424"/>
      <c r="I38" s="424"/>
      <c r="J38" s="426"/>
      <c r="K38" s="426"/>
      <c r="L38" s="424"/>
      <c r="M38" s="424"/>
      <c r="N38" s="424"/>
      <c r="O38" s="426"/>
      <c r="P38" s="426"/>
      <c r="Q38" s="424"/>
      <c r="R38" s="426"/>
      <c r="S38" s="426"/>
      <c r="T38" s="426"/>
      <c r="U38" s="426"/>
      <c r="V38" s="421"/>
    </row>
    <row r="39" spans="1:22">
      <c r="A39" s="416"/>
      <c r="B39" s="394"/>
      <c r="C39" s="413"/>
      <c r="D39" s="414"/>
      <c r="E39" s="414"/>
      <c r="F39" s="414"/>
      <c r="G39" s="414"/>
      <c r="H39" s="414"/>
      <c r="I39" s="414"/>
      <c r="J39" s="415"/>
      <c r="K39" s="415"/>
      <c r="L39" s="414"/>
      <c r="M39" s="414"/>
      <c r="N39" s="414"/>
      <c r="O39" s="415"/>
      <c r="P39" s="415"/>
      <c r="Q39" s="414"/>
      <c r="R39" s="415"/>
      <c r="S39" s="415"/>
      <c r="T39" s="415"/>
      <c r="U39" s="415"/>
      <c r="V39" s="421"/>
    </row>
    <row r="40" spans="1:22">
      <c r="A40" s="416"/>
      <c r="B40" s="417"/>
      <c r="C40" s="418"/>
      <c r="D40" s="419"/>
      <c r="E40" s="419"/>
      <c r="F40" s="419"/>
      <c r="G40" s="419"/>
      <c r="H40" s="419"/>
      <c r="I40" s="419"/>
      <c r="J40" s="420"/>
      <c r="K40" s="420"/>
      <c r="L40" s="419"/>
      <c r="M40" s="419"/>
      <c r="N40" s="419"/>
      <c r="O40" s="420"/>
      <c r="P40" s="420"/>
      <c r="Q40" s="419"/>
      <c r="R40" s="420"/>
      <c r="S40" s="420"/>
      <c r="T40" s="420"/>
      <c r="U40" s="420"/>
      <c r="V40" s="421"/>
    </row>
    <row r="41" spans="1:22" ht="15" thickBot="1">
      <c r="A41" s="432"/>
      <c r="B41" s="433"/>
      <c r="C41" s="434"/>
      <c r="D41" s="435"/>
      <c r="E41" s="435"/>
      <c r="F41" s="435"/>
      <c r="G41" s="435"/>
      <c r="H41" s="435"/>
      <c r="I41" s="435"/>
      <c r="J41" s="436"/>
      <c r="K41" s="436"/>
      <c r="L41" s="435"/>
      <c r="M41" s="435"/>
      <c r="N41" s="435"/>
      <c r="O41" s="436"/>
      <c r="P41" s="436"/>
      <c r="Q41" s="435"/>
      <c r="R41" s="436"/>
      <c r="S41" s="436"/>
      <c r="T41" s="436"/>
      <c r="U41" s="436"/>
      <c r="V41" s="421"/>
    </row>
    <row r="42" spans="1:22">
      <c r="A42" s="437"/>
      <c r="B42" s="417"/>
      <c r="C42" s="418"/>
      <c r="D42" s="419"/>
      <c r="E42" s="419"/>
      <c r="F42" s="419"/>
      <c r="G42" s="419"/>
      <c r="H42" s="419"/>
      <c r="I42" s="419"/>
      <c r="J42" s="420"/>
      <c r="K42" s="420"/>
      <c r="L42" s="419"/>
      <c r="M42" s="419"/>
      <c r="N42" s="419"/>
      <c r="O42" s="420"/>
      <c r="P42" s="420"/>
      <c r="Q42" s="419"/>
      <c r="R42" s="420"/>
      <c r="S42" s="420"/>
      <c r="T42" s="420"/>
      <c r="U42" s="420"/>
      <c r="V42" s="421"/>
    </row>
    <row r="43" spans="1:22">
      <c r="A43" s="416"/>
      <c r="B43" s="417"/>
      <c r="C43" s="418"/>
      <c r="D43" s="419"/>
      <c r="E43" s="419"/>
      <c r="F43" s="419"/>
      <c r="G43" s="419"/>
      <c r="H43" s="419"/>
      <c r="I43" s="419"/>
      <c r="J43" s="420"/>
      <c r="K43" s="420"/>
      <c r="L43" s="419"/>
      <c r="M43" s="419"/>
      <c r="N43" s="419"/>
      <c r="O43" s="420"/>
      <c r="P43" s="420"/>
      <c r="Q43" s="419"/>
      <c r="R43" s="420"/>
      <c r="S43" s="420"/>
      <c r="T43" s="420"/>
      <c r="U43" s="420"/>
      <c r="V43" s="421"/>
    </row>
    <row r="44" spans="1:22">
      <c r="A44" s="416"/>
      <c r="B44" s="422"/>
      <c r="C44" s="423"/>
      <c r="D44" s="424"/>
      <c r="E44" s="424"/>
      <c r="F44" s="424"/>
      <c r="G44" s="424"/>
      <c r="H44" s="424"/>
      <c r="I44" s="424"/>
      <c r="J44" s="426"/>
      <c r="K44" s="426"/>
      <c r="L44" s="424"/>
      <c r="M44" s="424"/>
      <c r="N44" s="424"/>
      <c r="O44" s="426"/>
      <c r="P44" s="426"/>
      <c r="Q44" s="424"/>
      <c r="R44" s="426"/>
      <c r="S44" s="426"/>
      <c r="T44" s="426"/>
      <c r="U44" s="426"/>
      <c r="V44" s="421"/>
    </row>
    <row r="45" spans="1:22">
      <c r="A45" s="416"/>
      <c r="B45" s="394"/>
      <c r="C45" s="413"/>
      <c r="D45" s="414"/>
      <c r="E45" s="414"/>
      <c r="F45" s="414"/>
      <c r="G45" s="414"/>
      <c r="H45" s="414"/>
      <c r="I45" s="414"/>
      <c r="J45" s="415"/>
      <c r="K45" s="415"/>
      <c r="L45" s="414"/>
      <c r="M45" s="414"/>
      <c r="N45" s="414"/>
      <c r="O45" s="415"/>
      <c r="P45" s="415"/>
      <c r="Q45" s="414"/>
      <c r="R45" s="415"/>
      <c r="S45" s="415"/>
      <c r="T45" s="415"/>
      <c r="U45" s="415"/>
      <c r="V45" s="421"/>
    </row>
    <row r="46" spans="1:22">
      <c r="A46" s="416"/>
      <c r="B46" s="417"/>
      <c r="C46" s="418"/>
      <c r="D46" s="419"/>
      <c r="E46" s="419"/>
      <c r="F46" s="419"/>
      <c r="G46" s="419"/>
      <c r="H46" s="419"/>
      <c r="I46" s="419"/>
      <c r="J46" s="420"/>
      <c r="K46" s="420"/>
      <c r="L46" s="419"/>
      <c r="M46" s="419"/>
      <c r="N46" s="419"/>
      <c r="O46" s="420"/>
      <c r="P46" s="420"/>
      <c r="Q46" s="419"/>
      <c r="R46" s="420"/>
      <c r="S46" s="420"/>
      <c r="T46" s="420"/>
      <c r="U46" s="420"/>
      <c r="V46" s="421"/>
    </row>
    <row r="47" spans="1:22">
      <c r="A47" s="416"/>
      <c r="B47" s="422"/>
      <c r="C47" s="423"/>
      <c r="D47" s="424"/>
      <c r="E47" s="424"/>
      <c r="F47" s="424"/>
      <c r="G47" s="424"/>
      <c r="H47" s="424"/>
      <c r="I47" s="424"/>
      <c r="J47" s="426"/>
      <c r="K47" s="426"/>
      <c r="L47" s="424"/>
      <c r="M47" s="424"/>
      <c r="N47" s="424"/>
      <c r="O47" s="426"/>
      <c r="P47" s="426"/>
      <c r="Q47" s="424"/>
      <c r="R47" s="426"/>
      <c r="S47" s="426"/>
      <c r="T47" s="426"/>
      <c r="U47" s="426"/>
      <c r="V47" s="421"/>
    </row>
    <row r="48" spans="1:22">
      <c r="A48" s="416"/>
      <c r="B48" s="394"/>
      <c r="C48" s="413"/>
      <c r="D48" s="414"/>
      <c r="E48" s="414"/>
      <c r="F48" s="414"/>
      <c r="G48" s="414"/>
      <c r="H48" s="414"/>
      <c r="I48" s="414"/>
      <c r="J48" s="415"/>
      <c r="K48" s="415"/>
      <c r="L48" s="414"/>
      <c r="M48" s="414"/>
      <c r="N48" s="414"/>
      <c r="O48" s="415"/>
      <c r="P48" s="415"/>
      <c r="Q48" s="414"/>
      <c r="R48" s="415"/>
      <c r="S48" s="415"/>
      <c r="T48" s="415"/>
      <c r="U48" s="415"/>
      <c r="V48" s="421"/>
    </row>
    <row r="49" spans="1:22">
      <c r="A49" s="416"/>
      <c r="B49" s="417"/>
      <c r="C49" s="418"/>
      <c r="D49" s="419"/>
      <c r="E49" s="419"/>
      <c r="F49" s="419"/>
      <c r="G49" s="419"/>
      <c r="H49" s="419"/>
      <c r="I49" s="419"/>
      <c r="J49" s="420"/>
      <c r="K49" s="420"/>
      <c r="L49" s="419"/>
      <c r="M49" s="419"/>
      <c r="N49" s="419"/>
      <c r="O49" s="420"/>
      <c r="P49" s="420"/>
      <c r="Q49" s="419"/>
      <c r="R49" s="420"/>
      <c r="S49" s="420"/>
      <c r="T49" s="420"/>
      <c r="U49" s="420"/>
      <c r="V49" s="421"/>
    </row>
    <row r="50" spans="1:22">
      <c r="A50" s="416"/>
      <c r="B50" s="422"/>
      <c r="C50" s="423"/>
      <c r="D50" s="424"/>
      <c r="E50" s="424"/>
      <c r="F50" s="424"/>
      <c r="G50" s="424"/>
      <c r="H50" s="424"/>
      <c r="I50" s="424"/>
      <c r="J50" s="426"/>
      <c r="K50" s="426"/>
      <c r="L50" s="424"/>
      <c r="M50" s="424"/>
      <c r="N50" s="424"/>
      <c r="O50" s="426"/>
      <c r="P50" s="426"/>
      <c r="Q50" s="424"/>
      <c r="R50" s="426"/>
      <c r="S50" s="426"/>
      <c r="T50" s="426"/>
      <c r="U50" s="426"/>
      <c r="V50" s="421"/>
    </row>
    <row r="51" spans="1:22">
      <c r="A51" s="416"/>
      <c r="B51" s="394"/>
      <c r="C51" s="413"/>
      <c r="D51" s="414"/>
      <c r="E51" s="414"/>
      <c r="F51" s="414"/>
      <c r="G51" s="414"/>
      <c r="H51" s="414"/>
      <c r="I51" s="414"/>
      <c r="J51" s="415"/>
      <c r="K51" s="415"/>
      <c r="L51" s="414"/>
      <c r="M51" s="414"/>
      <c r="N51" s="414"/>
      <c r="O51" s="415"/>
      <c r="P51" s="415"/>
      <c r="Q51" s="414"/>
      <c r="R51" s="415"/>
      <c r="S51" s="415"/>
      <c r="T51" s="415"/>
      <c r="U51" s="415"/>
      <c r="V51" s="421"/>
    </row>
    <row r="52" spans="1:22">
      <c r="A52" s="416"/>
      <c r="B52" s="417"/>
      <c r="C52" s="418"/>
      <c r="D52" s="419"/>
      <c r="E52" s="419"/>
      <c r="F52" s="419"/>
      <c r="G52" s="419"/>
      <c r="H52" s="419"/>
      <c r="I52" s="419"/>
      <c r="J52" s="420"/>
      <c r="K52" s="420"/>
      <c r="L52" s="419"/>
      <c r="M52" s="419"/>
      <c r="N52" s="419"/>
      <c r="O52" s="420"/>
      <c r="P52" s="420"/>
      <c r="Q52" s="419"/>
      <c r="R52" s="420"/>
      <c r="S52" s="420"/>
      <c r="T52" s="420"/>
      <c r="U52" s="420"/>
      <c r="V52" s="421"/>
    </row>
    <row r="53" spans="1:22">
      <c r="A53" s="416"/>
      <c r="B53" s="422"/>
      <c r="C53" s="423"/>
      <c r="D53" s="424"/>
      <c r="E53" s="424"/>
      <c r="F53" s="424"/>
      <c r="G53" s="424"/>
      <c r="H53" s="424"/>
      <c r="I53" s="424"/>
      <c r="J53" s="426"/>
      <c r="K53" s="426"/>
      <c r="L53" s="424"/>
      <c r="M53" s="424"/>
      <c r="N53" s="424"/>
      <c r="O53" s="426"/>
      <c r="P53" s="426"/>
      <c r="Q53" s="424"/>
      <c r="R53" s="426"/>
      <c r="S53" s="426"/>
      <c r="T53" s="426"/>
      <c r="U53" s="426"/>
      <c r="V53" s="421"/>
    </row>
    <row r="54" spans="1:22">
      <c r="A54" s="416"/>
      <c r="B54" s="394"/>
      <c r="C54" s="413"/>
      <c r="D54" s="414"/>
      <c r="E54" s="414"/>
      <c r="F54" s="414"/>
      <c r="G54" s="414"/>
      <c r="H54" s="414"/>
      <c r="I54" s="414"/>
      <c r="J54" s="415"/>
      <c r="K54" s="415"/>
      <c r="L54" s="414"/>
      <c r="M54" s="414"/>
      <c r="N54" s="414"/>
      <c r="O54" s="415"/>
      <c r="P54" s="415"/>
      <c r="Q54" s="414"/>
      <c r="R54" s="415"/>
      <c r="S54" s="415"/>
      <c r="T54" s="415"/>
      <c r="U54" s="415"/>
      <c r="V54" s="421"/>
    </row>
    <row r="55" spans="1:22">
      <c r="A55" s="416"/>
      <c r="B55" s="417"/>
      <c r="C55" s="418"/>
      <c r="D55" s="419"/>
      <c r="E55" s="419"/>
      <c r="F55" s="419"/>
      <c r="G55" s="419"/>
      <c r="H55" s="419"/>
      <c r="I55" s="419"/>
      <c r="J55" s="420"/>
      <c r="K55" s="420"/>
      <c r="L55" s="419"/>
      <c r="M55" s="419"/>
      <c r="N55" s="419"/>
      <c r="O55" s="420"/>
      <c r="P55" s="420"/>
      <c r="Q55" s="419"/>
      <c r="R55" s="420"/>
      <c r="S55" s="420"/>
      <c r="T55" s="420"/>
      <c r="U55" s="420"/>
      <c r="V55" s="421"/>
    </row>
    <row r="56" spans="1:22">
      <c r="A56" s="416"/>
      <c r="B56" s="422"/>
      <c r="C56" s="423"/>
      <c r="D56" s="424"/>
      <c r="E56" s="424"/>
      <c r="F56" s="424"/>
      <c r="G56" s="424"/>
      <c r="H56" s="424"/>
      <c r="I56" s="424"/>
      <c r="J56" s="426"/>
      <c r="K56" s="426"/>
      <c r="L56" s="424"/>
      <c r="M56" s="424"/>
      <c r="N56" s="424"/>
      <c r="O56" s="426"/>
      <c r="P56" s="426"/>
      <c r="Q56" s="424"/>
      <c r="R56" s="426"/>
      <c r="S56" s="426"/>
      <c r="T56" s="426"/>
      <c r="U56" s="426"/>
      <c r="V56" s="421"/>
    </row>
    <row r="57" spans="1:22">
      <c r="A57" s="416"/>
      <c r="B57" s="394"/>
      <c r="C57" s="413"/>
      <c r="D57" s="414"/>
      <c r="E57" s="414"/>
      <c r="F57" s="414"/>
      <c r="G57" s="414"/>
      <c r="H57" s="414"/>
      <c r="I57" s="414"/>
      <c r="J57" s="415"/>
      <c r="K57" s="415"/>
      <c r="L57" s="414"/>
      <c r="M57" s="414"/>
      <c r="N57" s="414"/>
      <c r="O57" s="415"/>
      <c r="P57" s="415"/>
      <c r="Q57" s="414"/>
      <c r="R57" s="415"/>
      <c r="S57" s="415"/>
      <c r="T57" s="415"/>
      <c r="U57" s="415"/>
      <c r="V57" s="421"/>
    </row>
    <row r="58" spans="1:22">
      <c r="A58" s="416"/>
      <c r="B58" s="417"/>
      <c r="C58" s="418"/>
      <c r="D58" s="419"/>
      <c r="E58" s="419"/>
      <c r="F58" s="419"/>
      <c r="G58" s="419"/>
      <c r="H58" s="419"/>
      <c r="I58" s="419"/>
      <c r="J58" s="420"/>
      <c r="K58" s="420"/>
      <c r="L58" s="419"/>
      <c r="M58" s="419"/>
      <c r="N58" s="419"/>
      <c r="O58" s="420"/>
      <c r="P58" s="420"/>
      <c r="Q58" s="419"/>
      <c r="R58" s="420"/>
      <c r="S58" s="420"/>
      <c r="T58" s="420"/>
      <c r="U58" s="420"/>
      <c r="V58" s="421"/>
    </row>
    <row r="59" spans="1:22" ht="15" thickBot="1">
      <c r="A59" s="416"/>
      <c r="B59" s="428"/>
      <c r="C59" s="429"/>
      <c r="D59" s="430"/>
      <c r="E59" s="430"/>
      <c r="F59" s="430"/>
      <c r="G59" s="430"/>
      <c r="H59" s="430"/>
      <c r="I59" s="430"/>
      <c r="J59" s="431"/>
      <c r="K59" s="431"/>
      <c r="L59" s="430"/>
      <c r="M59" s="430"/>
      <c r="N59" s="430"/>
      <c r="O59" s="431"/>
      <c r="P59" s="431"/>
      <c r="Q59" s="430"/>
      <c r="R59" s="431"/>
      <c r="S59" s="431"/>
      <c r="T59" s="431"/>
      <c r="U59" s="431"/>
      <c r="V59" s="421"/>
    </row>
    <row r="60" spans="1:22" ht="15" thickTop="1">
      <c r="A60" s="416"/>
      <c r="B60" s="417"/>
      <c r="C60" s="418"/>
      <c r="D60" s="419"/>
      <c r="E60" s="419"/>
      <c r="F60" s="419"/>
      <c r="G60" s="419"/>
      <c r="H60" s="419"/>
      <c r="I60" s="419"/>
      <c r="J60" s="420"/>
      <c r="K60" s="420"/>
      <c r="L60" s="419"/>
      <c r="M60" s="419"/>
      <c r="N60" s="419"/>
      <c r="O60" s="420"/>
      <c r="P60" s="420"/>
      <c r="Q60" s="419"/>
      <c r="R60" s="420"/>
      <c r="S60" s="420"/>
      <c r="T60" s="420"/>
      <c r="U60" s="420"/>
      <c r="V60" s="421"/>
    </row>
    <row r="61" spans="1:22">
      <c r="A61" s="416"/>
      <c r="B61" s="417"/>
      <c r="C61" s="418"/>
      <c r="D61" s="419"/>
      <c r="E61" s="419"/>
      <c r="F61" s="419"/>
      <c r="G61" s="419"/>
      <c r="H61" s="419"/>
      <c r="I61" s="419"/>
      <c r="J61" s="420"/>
      <c r="K61" s="420"/>
      <c r="L61" s="419"/>
      <c r="M61" s="419"/>
      <c r="N61" s="419"/>
      <c r="O61" s="420"/>
      <c r="P61" s="420"/>
      <c r="Q61" s="419"/>
      <c r="R61" s="420"/>
      <c r="S61" s="420"/>
      <c r="T61" s="420"/>
      <c r="U61" s="420"/>
      <c r="V61" s="421"/>
    </row>
    <row r="62" spans="1:22">
      <c r="A62" s="416"/>
      <c r="B62" s="422"/>
      <c r="C62" s="423"/>
      <c r="D62" s="424"/>
      <c r="E62" s="424"/>
      <c r="F62" s="424"/>
      <c r="G62" s="424"/>
      <c r="H62" s="424"/>
      <c r="I62" s="424"/>
      <c r="J62" s="426"/>
      <c r="K62" s="426"/>
      <c r="L62" s="424"/>
      <c r="M62" s="424"/>
      <c r="N62" s="424"/>
      <c r="O62" s="426"/>
      <c r="P62" s="426"/>
      <c r="Q62" s="424"/>
      <c r="R62" s="426"/>
      <c r="S62" s="426"/>
      <c r="T62" s="426"/>
      <c r="U62" s="426"/>
      <c r="V62" s="421"/>
    </row>
    <row r="63" spans="1:22">
      <c r="A63" s="416"/>
      <c r="B63" s="394"/>
      <c r="C63" s="413"/>
      <c r="D63" s="414"/>
      <c r="E63" s="414"/>
      <c r="F63" s="414"/>
      <c r="G63" s="414"/>
      <c r="H63" s="414"/>
      <c r="I63" s="414"/>
      <c r="J63" s="415"/>
      <c r="K63" s="415"/>
      <c r="L63" s="414"/>
      <c r="M63" s="414"/>
      <c r="N63" s="414"/>
      <c r="O63" s="415"/>
      <c r="P63" s="415"/>
      <c r="Q63" s="414"/>
      <c r="R63" s="415"/>
      <c r="S63" s="415"/>
      <c r="T63" s="415"/>
      <c r="U63" s="415"/>
      <c r="V63" s="421"/>
    </row>
    <row r="64" spans="1:22">
      <c r="A64" s="416"/>
      <c r="B64" s="417"/>
      <c r="C64" s="418"/>
      <c r="D64" s="419"/>
      <c r="E64" s="419"/>
      <c r="F64" s="419"/>
      <c r="G64" s="419"/>
      <c r="H64" s="419"/>
      <c r="I64" s="419"/>
      <c r="J64" s="420"/>
      <c r="K64" s="420"/>
      <c r="L64" s="419"/>
      <c r="M64" s="419"/>
      <c r="N64" s="419"/>
      <c r="O64" s="420"/>
      <c r="P64" s="420"/>
      <c r="Q64" s="419"/>
      <c r="R64" s="420"/>
      <c r="S64" s="420"/>
      <c r="T64" s="420"/>
      <c r="U64" s="420"/>
      <c r="V64" s="421"/>
    </row>
    <row r="65" spans="1:23">
      <c r="A65" s="416"/>
      <c r="B65" s="422"/>
      <c r="C65" s="423"/>
      <c r="D65" s="424"/>
      <c r="E65" s="424"/>
      <c r="F65" s="424"/>
      <c r="G65" s="424"/>
      <c r="H65" s="424"/>
      <c r="I65" s="424"/>
      <c r="J65" s="426"/>
      <c r="K65" s="426"/>
      <c r="L65" s="424"/>
      <c r="M65" s="424"/>
      <c r="N65" s="424"/>
      <c r="O65" s="426"/>
      <c r="P65" s="426"/>
      <c r="Q65" s="424"/>
      <c r="R65" s="426"/>
      <c r="S65" s="426"/>
      <c r="T65" s="426"/>
      <c r="U65" s="426"/>
      <c r="V65" s="421"/>
    </row>
    <row r="66" spans="1:23">
      <c r="A66" s="416"/>
      <c r="B66" s="394"/>
      <c r="C66" s="413"/>
      <c r="D66" s="414"/>
      <c r="E66" s="414"/>
      <c r="F66" s="414"/>
      <c r="G66" s="414"/>
      <c r="H66" s="414"/>
      <c r="I66" s="414"/>
      <c r="J66" s="415"/>
      <c r="K66" s="415"/>
      <c r="L66" s="414"/>
      <c r="M66" s="414"/>
      <c r="N66" s="414"/>
      <c r="O66" s="415"/>
      <c r="P66" s="415"/>
      <c r="Q66" s="414"/>
      <c r="R66" s="415"/>
      <c r="S66" s="415"/>
      <c r="T66" s="415"/>
      <c r="U66" s="415"/>
      <c r="V66" s="421"/>
    </row>
    <row r="67" spans="1:23">
      <c r="A67" s="416"/>
      <c r="B67" s="417"/>
      <c r="C67" s="418"/>
      <c r="D67" s="419"/>
      <c r="E67" s="419"/>
      <c r="F67" s="419"/>
      <c r="G67" s="419"/>
      <c r="H67" s="419"/>
      <c r="I67" s="419"/>
      <c r="J67" s="420"/>
      <c r="K67" s="420"/>
      <c r="L67" s="419"/>
      <c r="M67" s="419"/>
      <c r="N67" s="419"/>
      <c r="O67" s="420"/>
      <c r="P67" s="420"/>
      <c r="Q67" s="419"/>
      <c r="R67" s="420"/>
      <c r="S67" s="420"/>
      <c r="T67" s="420"/>
      <c r="U67" s="420"/>
      <c r="V67" s="421"/>
    </row>
    <row r="68" spans="1:23">
      <c r="A68" s="416"/>
      <c r="B68" s="422"/>
      <c r="C68" s="423"/>
      <c r="D68" s="424"/>
      <c r="E68" s="424"/>
      <c r="F68" s="424"/>
      <c r="G68" s="424"/>
      <c r="H68" s="424"/>
      <c r="I68" s="424"/>
      <c r="J68" s="426"/>
      <c r="K68" s="426"/>
      <c r="L68" s="424"/>
      <c r="M68" s="424"/>
      <c r="N68" s="424"/>
      <c r="O68" s="426"/>
      <c r="P68" s="426"/>
      <c r="Q68" s="424"/>
      <c r="R68" s="426"/>
      <c r="S68" s="426"/>
      <c r="T68" s="426"/>
      <c r="U68" s="426"/>
      <c r="V68" s="421"/>
    </row>
    <row r="69" spans="1:23">
      <c r="A69" s="416"/>
      <c r="B69" s="394"/>
      <c r="C69" s="413"/>
      <c r="D69" s="414"/>
      <c r="E69" s="414"/>
      <c r="F69" s="414"/>
      <c r="G69" s="414"/>
      <c r="H69" s="414"/>
      <c r="I69" s="414"/>
      <c r="J69" s="415"/>
      <c r="K69" s="415"/>
      <c r="L69" s="414"/>
      <c r="M69" s="414"/>
      <c r="N69" s="414"/>
      <c r="O69" s="415"/>
      <c r="P69" s="415"/>
      <c r="Q69" s="414"/>
      <c r="R69" s="415"/>
      <c r="S69" s="415"/>
      <c r="T69" s="415"/>
      <c r="U69" s="415"/>
      <c r="V69" s="421"/>
    </row>
    <row r="70" spans="1:23">
      <c r="A70" s="416"/>
      <c r="B70" s="417"/>
      <c r="C70" s="418"/>
      <c r="D70" s="419"/>
      <c r="E70" s="419"/>
      <c r="F70" s="419"/>
      <c r="G70" s="419"/>
      <c r="H70" s="419"/>
      <c r="I70" s="419"/>
      <c r="J70" s="420"/>
      <c r="K70" s="420"/>
      <c r="L70" s="419"/>
      <c r="M70" s="419"/>
      <c r="N70" s="419"/>
      <c r="O70" s="420"/>
      <c r="P70" s="420"/>
      <c r="Q70" s="419"/>
      <c r="R70" s="420"/>
      <c r="S70" s="420"/>
      <c r="T70" s="420"/>
      <c r="U70" s="420"/>
      <c r="V70" s="421"/>
    </row>
    <row r="71" spans="1:23">
      <c r="A71" s="416"/>
      <c r="B71" s="422"/>
      <c r="C71" s="423"/>
      <c r="D71" s="424"/>
      <c r="E71" s="424"/>
      <c r="F71" s="424"/>
      <c r="G71" s="424"/>
      <c r="H71" s="424"/>
      <c r="I71" s="424"/>
      <c r="J71" s="426"/>
      <c r="K71" s="426"/>
      <c r="L71" s="424"/>
      <c r="M71" s="424"/>
      <c r="N71" s="424"/>
      <c r="O71" s="426"/>
      <c r="P71" s="426"/>
      <c r="Q71" s="424"/>
      <c r="R71" s="426"/>
      <c r="S71" s="426"/>
      <c r="T71" s="426"/>
      <c r="U71" s="426"/>
      <c r="V71" s="421"/>
    </row>
    <row r="72" spans="1:23">
      <c r="A72" s="416"/>
      <c r="B72" s="394"/>
      <c r="C72" s="413"/>
      <c r="D72" s="414"/>
      <c r="E72" s="414"/>
      <c r="F72" s="414"/>
      <c r="G72" s="414"/>
      <c r="H72" s="414"/>
      <c r="I72" s="414"/>
      <c r="J72" s="415"/>
      <c r="K72" s="415"/>
      <c r="L72" s="414"/>
      <c r="M72" s="414"/>
      <c r="N72" s="414"/>
      <c r="O72" s="415"/>
      <c r="P72" s="415"/>
      <c r="Q72" s="414"/>
      <c r="R72" s="415"/>
      <c r="S72" s="415"/>
      <c r="T72" s="415"/>
      <c r="U72" s="415"/>
      <c r="V72" s="421"/>
    </row>
    <row r="73" spans="1:23">
      <c r="A73" s="416"/>
      <c r="B73" s="417"/>
      <c r="C73" s="418"/>
      <c r="D73" s="419"/>
      <c r="E73" s="419"/>
      <c r="F73" s="419"/>
      <c r="G73" s="419"/>
      <c r="H73" s="419"/>
      <c r="I73" s="419"/>
      <c r="J73" s="420"/>
      <c r="K73" s="420"/>
      <c r="L73" s="419"/>
      <c r="M73" s="419"/>
      <c r="N73" s="419"/>
      <c r="O73" s="420"/>
      <c r="P73" s="420"/>
      <c r="Q73" s="419"/>
      <c r="R73" s="420"/>
      <c r="S73" s="420"/>
      <c r="T73" s="420"/>
      <c r="U73" s="420"/>
      <c r="V73" s="421"/>
    </row>
    <row r="74" spans="1:23">
      <c r="A74" s="416"/>
      <c r="B74" s="422"/>
      <c r="C74" s="423"/>
      <c r="D74" s="424"/>
      <c r="E74" s="424"/>
      <c r="F74" s="424"/>
      <c r="G74" s="424"/>
      <c r="H74" s="424"/>
      <c r="I74" s="424"/>
      <c r="J74" s="426"/>
      <c r="K74" s="426"/>
      <c r="L74" s="424"/>
      <c r="M74" s="424"/>
      <c r="N74" s="424"/>
      <c r="O74" s="426"/>
      <c r="P74" s="426"/>
      <c r="Q74" s="424"/>
      <c r="R74" s="426"/>
      <c r="S74" s="426"/>
      <c r="T74" s="426"/>
      <c r="U74" s="426"/>
      <c r="V74" s="421"/>
    </row>
    <row r="75" spans="1:23">
      <c r="A75" s="416"/>
      <c r="B75" s="394"/>
      <c r="C75" s="413"/>
      <c r="D75" s="414"/>
      <c r="E75" s="414"/>
      <c r="F75" s="414"/>
      <c r="G75" s="414"/>
      <c r="H75" s="414"/>
      <c r="I75" s="414"/>
      <c r="J75" s="415"/>
      <c r="K75" s="415"/>
      <c r="L75" s="414"/>
      <c r="M75" s="414"/>
      <c r="N75" s="414"/>
      <c r="O75" s="415"/>
      <c r="P75" s="415"/>
      <c r="Q75" s="414"/>
      <c r="R75" s="415"/>
      <c r="S75" s="415"/>
      <c r="T75" s="415"/>
      <c r="U75" s="415"/>
      <c r="V75" s="421"/>
    </row>
    <row r="76" spans="1:23">
      <c r="A76" s="416"/>
      <c r="B76" s="417"/>
      <c r="C76" s="418"/>
      <c r="D76" s="419"/>
      <c r="E76" s="419"/>
      <c r="F76" s="419"/>
      <c r="G76" s="419"/>
      <c r="H76" s="419"/>
      <c r="I76" s="419"/>
      <c r="J76" s="420"/>
      <c r="K76" s="420"/>
      <c r="L76" s="419"/>
      <c r="M76" s="419"/>
      <c r="N76" s="419"/>
      <c r="O76" s="420"/>
      <c r="P76" s="420"/>
      <c r="Q76" s="419"/>
      <c r="R76" s="420"/>
      <c r="S76" s="420"/>
      <c r="T76" s="420"/>
      <c r="U76" s="420"/>
      <c r="V76" s="421"/>
      <c r="W76" s="438"/>
    </row>
    <row r="77" spans="1:23" ht="15" thickBot="1">
      <c r="A77" s="432"/>
      <c r="B77" s="433"/>
      <c r="C77" s="434"/>
      <c r="D77" s="435"/>
      <c r="E77" s="435"/>
      <c r="F77" s="435"/>
      <c r="G77" s="435"/>
      <c r="H77" s="435"/>
      <c r="I77" s="435"/>
      <c r="J77" s="436"/>
      <c r="K77" s="436"/>
      <c r="L77" s="435"/>
      <c r="M77" s="435"/>
      <c r="N77" s="435"/>
      <c r="O77" s="436"/>
      <c r="P77" s="436"/>
      <c r="Q77" s="435"/>
      <c r="R77" s="436"/>
      <c r="S77" s="436"/>
      <c r="T77" s="436"/>
      <c r="U77" s="436"/>
      <c r="V77" s="421"/>
    </row>
    <row r="78" spans="1:23">
      <c r="A78" s="412"/>
      <c r="B78" s="394"/>
      <c r="C78" s="413"/>
      <c r="D78" s="414"/>
      <c r="E78" s="414"/>
      <c r="F78" s="414"/>
      <c r="G78" s="414"/>
      <c r="H78" s="414"/>
      <c r="I78" s="414"/>
      <c r="J78" s="415"/>
      <c r="K78" s="415"/>
      <c r="L78" s="414"/>
      <c r="M78" s="414"/>
      <c r="N78" s="414"/>
      <c r="O78" s="415"/>
      <c r="P78" s="415"/>
      <c r="Q78" s="414"/>
      <c r="R78" s="415"/>
      <c r="S78" s="415"/>
      <c r="T78" s="415"/>
      <c r="U78" s="415"/>
      <c r="V78" s="421"/>
    </row>
    <row r="79" spans="1:23">
      <c r="A79" s="416"/>
      <c r="B79" s="417"/>
      <c r="C79" s="418"/>
      <c r="D79" s="419"/>
      <c r="E79" s="419"/>
      <c r="F79" s="419"/>
      <c r="G79" s="419"/>
      <c r="H79" s="419"/>
      <c r="I79" s="419"/>
      <c r="J79" s="420"/>
      <c r="K79" s="420"/>
      <c r="L79" s="419"/>
      <c r="M79" s="419"/>
      <c r="N79" s="419"/>
      <c r="O79" s="420"/>
      <c r="P79" s="420"/>
      <c r="Q79" s="419"/>
      <c r="R79" s="420"/>
      <c r="S79" s="420"/>
      <c r="T79" s="420"/>
      <c r="U79" s="420"/>
      <c r="V79" s="421"/>
    </row>
    <row r="80" spans="1:23">
      <c r="A80" s="416"/>
      <c r="B80" s="422"/>
      <c r="C80" s="423"/>
      <c r="D80" s="424"/>
      <c r="E80" s="424"/>
      <c r="F80" s="424"/>
      <c r="G80" s="424"/>
      <c r="H80" s="424"/>
      <c r="I80" s="424"/>
      <c r="J80" s="426"/>
      <c r="K80" s="426"/>
      <c r="L80" s="424"/>
      <c r="M80" s="424"/>
      <c r="N80" s="424"/>
      <c r="O80" s="426"/>
      <c r="P80" s="426"/>
      <c r="Q80" s="424"/>
      <c r="R80" s="426"/>
      <c r="S80" s="426"/>
      <c r="T80" s="426"/>
      <c r="U80" s="426"/>
      <c r="V80" s="421"/>
    </row>
    <row r="81" spans="1:22">
      <c r="A81" s="416"/>
      <c r="B81" s="394"/>
      <c r="C81" s="413"/>
      <c r="D81" s="414"/>
      <c r="E81" s="414"/>
      <c r="F81" s="414"/>
      <c r="G81" s="414"/>
      <c r="H81" s="414"/>
      <c r="I81" s="414"/>
      <c r="J81" s="415"/>
      <c r="K81" s="415"/>
      <c r="L81" s="414"/>
      <c r="M81" s="414"/>
      <c r="N81" s="414"/>
      <c r="O81" s="415"/>
      <c r="P81" s="415"/>
      <c r="Q81" s="414"/>
      <c r="R81" s="415"/>
      <c r="S81" s="415"/>
      <c r="T81" s="415"/>
      <c r="U81" s="415"/>
      <c r="V81" s="421"/>
    </row>
    <row r="82" spans="1:22">
      <c r="A82" s="416"/>
      <c r="B82" s="417"/>
      <c r="C82" s="418"/>
      <c r="D82" s="419"/>
      <c r="E82" s="419"/>
      <c r="F82" s="419"/>
      <c r="G82" s="419"/>
      <c r="H82" s="419"/>
      <c r="I82" s="419"/>
      <c r="J82" s="420"/>
      <c r="K82" s="420"/>
      <c r="L82" s="419"/>
      <c r="M82" s="419"/>
      <c r="N82" s="419"/>
      <c r="O82" s="420"/>
      <c r="P82" s="420"/>
      <c r="Q82" s="419"/>
      <c r="R82" s="420"/>
      <c r="S82" s="420"/>
      <c r="T82" s="420"/>
      <c r="U82" s="420"/>
      <c r="V82" s="421"/>
    </row>
    <row r="83" spans="1:22">
      <c r="A83" s="416"/>
      <c r="B83" s="422"/>
      <c r="C83" s="423"/>
      <c r="D83" s="424"/>
      <c r="E83" s="424"/>
      <c r="F83" s="424"/>
      <c r="G83" s="424"/>
      <c r="H83" s="424"/>
      <c r="I83" s="424"/>
      <c r="J83" s="426"/>
      <c r="K83" s="426"/>
      <c r="L83" s="424"/>
      <c r="M83" s="424"/>
      <c r="N83" s="424"/>
      <c r="O83" s="426"/>
      <c r="P83" s="426"/>
      <c r="Q83" s="424"/>
      <c r="R83" s="426"/>
      <c r="S83" s="426"/>
      <c r="T83" s="426"/>
      <c r="U83" s="426"/>
      <c r="V83" s="421"/>
    </row>
    <row r="84" spans="1:22">
      <c r="A84" s="416"/>
      <c r="B84" s="394"/>
      <c r="C84" s="413"/>
      <c r="D84" s="414"/>
      <c r="E84" s="414"/>
      <c r="F84" s="414"/>
      <c r="G84" s="414"/>
      <c r="H84" s="414"/>
      <c r="I84" s="414"/>
      <c r="J84" s="415"/>
      <c r="K84" s="415"/>
      <c r="L84" s="414"/>
      <c r="M84" s="414"/>
      <c r="N84" s="414"/>
      <c r="O84" s="415"/>
      <c r="P84" s="415"/>
      <c r="Q84" s="414"/>
      <c r="R84" s="415"/>
      <c r="S84" s="415"/>
      <c r="T84" s="415"/>
      <c r="U84" s="415"/>
      <c r="V84" s="421"/>
    </row>
    <row r="85" spans="1:22">
      <c r="A85" s="416"/>
      <c r="B85" s="417"/>
      <c r="C85" s="418"/>
      <c r="D85" s="419"/>
      <c r="E85" s="419"/>
      <c r="F85" s="419"/>
      <c r="G85" s="419"/>
      <c r="H85" s="419"/>
      <c r="I85" s="419"/>
      <c r="J85" s="420"/>
      <c r="K85" s="420"/>
      <c r="L85" s="419"/>
      <c r="M85" s="419"/>
      <c r="N85" s="419"/>
      <c r="O85" s="420"/>
      <c r="P85" s="420"/>
      <c r="Q85" s="419"/>
      <c r="R85" s="420"/>
      <c r="S85" s="420"/>
      <c r="T85" s="420"/>
      <c r="U85" s="420"/>
      <c r="V85" s="421"/>
    </row>
    <row r="86" spans="1:22">
      <c r="A86" s="416"/>
      <c r="B86" s="422"/>
      <c r="C86" s="423"/>
      <c r="D86" s="424"/>
      <c r="E86" s="424"/>
      <c r="F86" s="424"/>
      <c r="G86" s="424"/>
      <c r="H86" s="424"/>
      <c r="I86" s="424"/>
      <c r="J86" s="426"/>
      <c r="K86" s="426"/>
      <c r="L86" s="424"/>
      <c r="M86" s="424"/>
      <c r="N86" s="424"/>
      <c r="O86" s="426"/>
      <c r="P86" s="426"/>
      <c r="Q86" s="424"/>
      <c r="R86" s="426"/>
      <c r="S86" s="426"/>
      <c r="T86" s="426"/>
      <c r="U86" s="426"/>
      <c r="V86" s="421"/>
    </row>
    <row r="87" spans="1:22">
      <c r="A87" s="416"/>
      <c r="B87" s="394"/>
      <c r="C87" s="413"/>
      <c r="D87" s="414"/>
      <c r="E87" s="414"/>
      <c r="F87" s="414"/>
      <c r="G87" s="414"/>
      <c r="H87" s="414"/>
      <c r="I87" s="414"/>
      <c r="J87" s="415"/>
      <c r="K87" s="415"/>
      <c r="L87" s="414"/>
      <c r="M87" s="414"/>
      <c r="N87" s="414"/>
      <c r="O87" s="415"/>
      <c r="P87" s="415"/>
      <c r="Q87" s="414"/>
      <c r="R87" s="415"/>
      <c r="S87" s="415"/>
      <c r="T87" s="415"/>
      <c r="U87" s="415"/>
      <c r="V87" s="421"/>
    </row>
    <row r="88" spans="1:22">
      <c r="A88" s="416"/>
      <c r="B88" s="417"/>
      <c r="C88" s="418"/>
      <c r="D88" s="419"/>
      <c r="E88" s="419"/>
      <c r="F88" s="419"/>
      <c r="G88" s="419"/>
      <c r="H88" s="419"/>
      <c r="I88" s="419"/>
      <c r="J88" s="420"/>
      <c r="K88" s="420"/>
      <c r="L88" s="419"/>
      <c r="M88" s="419"/>
      <c r="N88" s="419"/>
      <c r="O88" s="420"/>
      <c r="P88" s="420"/>
      <c r="Q88" s="419"/>
      <c r="R88" s="420"/>
      <c r="S88" s="420"/>
      <c r="T88" s="420"/>
      <c r="U88" s="420"/>
      <c r="V88" s="421"/>
    </row>
    <row r="89" spans="1:22">
      <c r="A89" s="416"/>
      <c r="B89" s="422"/>
      <c r="C89" s="423"/>
      <c r="D89" s="424"/>
      <c r="E89" s="424"/>
      <c r="F89" s="424"/>
      <c r="G89" s="424"/>
      <c r="H89" s="424"/>
      <c r="I89" s="424"/>
      <c r="J89" s="426"/>
      <c r="K89" s="426"/>
      <c r="L89" s="424"/>
      <c r="M89" s="424"/>
      <c r="N89" s="424"/>
      <c r="O89" s="426"/>
      <c r="P89" s="426"/>
      <c r="Q89" s="424"/>
      <c r="R89" s="426"/>
      <c r="S89" s="426"/>
      <c r="T89" s="426"/>
      <c r="U89" s="426"/>
      <c r="V89" s="421"/>
    </row>
    <row r="90" spans="1:22">
      <c r="A90" s="416"/>
      <c r="B90" s="394"/>
      <c r="C90" s="413"/>
      <c r="D90" s="414"/>
      <c r="E90" s="414"/>
      <c r="F90" s="414"/>
      <c r="G90" s="414"/>
      <c r="H90" s="414"/>
      <c r="I90" s="414"/>
      <c r="J90" s="415"/>
      <c r="K90" s="415"/>
      <c r="L90" s="414"/>
      <c r="M90" s="414"/>
      <c r="N90" s="414"/>
      <c r="O90" s="415"/>
      <c r="P90" s="415"/>
      <c r="Q90" s="414"/>
      <c r="R90" s="415"/>
      <c r="S90" s="415"/>
      <c r="T90" s="415"/>
      <c r="U90" s="415"/>
      <c r="V90" s="421"/>
    </row>
    <row r="91" spans="1:22">
      <c r="A91" s="416"/>
      <c r="B91" s="417"/>
      <c r="C91" s="418"/>
      <c r="D91" s="419"/>
      <c r="E91" s="419"/>
      <c r="F91" s="419"/>
      <c r="G91" s="419"/>
      <c r="H91" s="419"/>
      <c r="I91" s="419"/>
      <c r="J91" s="420"/>
      <c r="K91" s="420"/>
      <c r="L91" s="419"/>
      <c r="M91" s="419"/>
      <c r="N91" s="419"/>
      <c r="O91" s="420"/>
      <c r="P91" s="420"/>
      <c r="Q91" s="419"/>
      <c r="R91" s="420"/>
      <c r="S91" s="420"/>
      <c r="T91" s="420"/>
      <c r="U91" s="420"/>
      <c r="V91" s="421"/>
    </row>
    <row r="92" spans="1:22">
      <c r="A92" s="416"/>
      <c r="B92" s="422"/>
      <c r="C92" s="423"/>
      <c r="D92" s="424"/>
      <c r="E92" s="424"/>
      <c r="F92" s="424"/>
      <c r="G92" s="424"/>
      <c r="H92" s="424"/>
      <c r="I92" s="424"/>
      <c r="J92" s="426"/>
      <c r="K92" s="426"/>
      <c r="L92" s="424"/>
      <c r="M92" s="424"/>
      <c r="N92" s="424"/>
      <c r="O92" s="426"/>
      <c r="P92" s="426"/>
      <c r="Q92" s="424"/>
      <c r="R92" s="426"/>
      <c r="S92" s="426"/>
      <c r="T92" s="426"/>
      <c r="U92" s="426"/>
      <c r="V92" s="421"/>
    </row>
    <row r="93" spans="1:22">
      <c r="A93" s="416"/>
      <c r="B93" s="394"/>
      <c r="C93" s="413"/>
      <c r="D93" s="414"/>
      <c r="E93" s="414"/>
      <c r="F93" s="414"/>
      <c r="G93" s="414"/>
      <c r="H93" s="414"/>
      <c r="I93" s="414"/>
      <c r="J93" s="415"/>
      <c r="K93" s="415"/>
      <c r="L93" s="414"/>
      <c r="M93" s="414"/>
      <c r="N93" s="414"/>
      <c r="O93" s="415"/>
      <c r="P93" s="415"/>
      <c r="Q93" s="414"/>
      <c r="R93" s="415"/>
      <c r="S93" s="415"/>
      <c r="T93" s="415"/>
      <c r="U93" s="415"/>
      <c r="V93" s="421"/>
    </row>
    <row r="94" spans="1:22">
      <c r="A94" s="416"/>
      <c r="B94" s="417"/>
      <c r="C94" s="418"/>
      <c r="D94" s="419"/>
      <c r="E94" s="419"/>
      <c r="F94" s="419"/>
      <c r="G94" s="419"/>
      <c r="H94" s="419"/>
      <c r="I94" s="419"/>
      <c r="J94" s="420"/>
      <c r="K94" s="420"/>
      <c r="L94" s="419"/>
      <c r="M94" s="419"/>
      <c r="N94" s="419"/>
      <c r="O94" s="420"/>
      <c r="P94" s="420"/>
      <c r="Q94" s="419"/>
      <c r="R94" s="420"/>
      <c r="S94" s="420"/>
      <c r="T94" s="420"/>
      <c r="U94" s="420"/>
      <c r="V94" s="421"/>
    </row>
    <row r="95" spans="1:22" ht="15" thickBot="1">
      <c r="A95" s="416"/>
      <c r="B95" s="428"/>
      <c r="C95" s="429"/>
      <c r="D95" s="430"/>
      <c r="E95" s="430"/>
      <c r="F95" s="430"/>
      <c r="G95" s="430"/>
      <c r="H95" s="430"/>
      <c r="I95" s="430"/>
      <c r="J95" s="431"/>
      <c r="K95" s="431"/>
      <c r="L95" s="430"/>
      <c r="M95" s="430"/>
      <c r="N95" s="430"/>
      <c r="O95" s="431"/>
      <c r="P95" s="431"/>
      <c r="Q95" s="430"/>
      <c r="R95" s="431"/>
      <c r="S95" s="431"/>
      <c r="T95" s="431"/>
      <c r="U95" s="431"/>
      <c r="V95" s="421"/>
    </row>
    <row r="96" spans="1:22" ht="15" thickTop="1">
      <c r="A96" s="416"/>
      <c r="B96" s="417"/>
      <c r="C96" s="418"/>
      <c r="D96" s="419"/>
      <c r="E96" s="419"/>
      <c r="F96" s="419"/>
      <c r="G96" s="419"/>
      <c r="H96" s="419"/>
      <c r="I96" s="419"/>
      <c r="J96" s="420"/>
      <c r="K96" s="420"/>
      <c r="L96" s="419"/>
      <c r="M96" s="419"/>
      <c r="N96" s="419"/>
      <c r="O96" s="420"/>
      <c r="P96" s="420"/>
      <c r="Q96" s="419"/>
      <c r="R96" s="420"/>
      <c r="S96" s="420"/>
      <c r="T96" s="420"/>
      <c r="U96" s="420"/>
      <c r="V96" s="421"/>
    </row>
    <row r="97" spans="1:22">
      <c r="A97" s="416"/>
      <c r="B97" s="417"/>
      <c r="C97" s="418"/>
      <c r="D97" s="419"/>
      <c r="E97" s="419"/>
      <c r="F97" s="419"/>
      <c r="G97" s="419"/>
      <c r="H97" s="419"/>
      <c r="I97" s="419"/>
      <c r="J97" s="420"/>
      <c r="K97" s="420"/>
      <c r="L97" s="419"/>
      <c r="M97" s="419"/>
      <c r="N97" s="419"/>
      <c r="O97" s="420"/>
      <c r="P97" s="420"/>
      <c r="Q97" s="419"/>
      <c r="R97" s="420"/>
      <c r="S97" s="420"/>
      <c r="T97" s="420"/>
      <c r="U97" s="420"/>
      <c r="V97" s="421"/>
    </row>
    <row r="98" spans="1:22">
      <c r="A98" s="416"/>
      <c r="B98" s="422"/>
      <c r="C98" s="423"/>
      <c r="D98" s="424"/>
      <c r="E98" s="424"/>
      <c r="F98" s="424"/>
      <c r="G98" s="424"/>
      <c r="H98" s="424"/>
      <c r="I98" s="424"/>
      <c r="J98" s="426"/>
      <c r="K98" s="426"/>
      <c r="L98" s="424"/>
      <c r="M98" s="424"/>
      <c r="N98" s="424"/>
      <c r="O98" s="426"/>
      <c r="P98" s="426"/>
      <c r="Q98" s="424"/>
      <c r="R98" s="426"/>
      <c r="S98" s="426"/>
      <c r="T98" s="426"/>
      <c r="U98" s="426"/>
      <c r="V98" s="421"/>
    </row>
    <row r="99" spans="1:22">
      <c r="A99" s="416"/>
      <c r="B99" s="394"/>
      <c r="C99" s="413"/>
      <c r="D99" s="414"/>
      <c r="E99" s="414"/>
      <c r="F99" s="414"/>
      <c r="G99" s="414"/>
      <c r="H99" s="414"/>
      <c r="I99" s="414"/>
      <c r="J99" s="415"/>
      <c r="K99" s="415"/>
      <c r="L99" s="414"/>
      <c r="M99" s="414"/>
      <c r="N99" s="414"/>
      <c r="O99" s="415"/>
      <c r="P99" s="415"/>
      <c r="Q99" s="414"/>
      <c r="R99" s="415"/>
      <c r="S99" s="415"/>
      <c r="T99" s="415"/>
      <c r="U99" s="415"/>
      <c r="V99" s="421"/>
    </row>
    <row r="100" spans="1:22">
      <c r="A100" s="416"/>
      <c r="B100" s="417"/>
      <c r="C100" s="418"/>
      <c r="D100" s="419"/>
      <c r="E100" s="419"/>
      <c r="F100" s="419"/>
      <c r="G100" s="419"/>
      <c r="H100" s="419"/>
      <c r="I100" s="419"/>
      <c r="J100" s="420"/>
      <c r="K100" s="420"/>
      <c r="L100" s="419"/>
      <c r="M100" s="419"/>
      <c r="N100" s="419"/>
      <c r="O100" s="420"/>
      <c r="P100" s="420"/>
      <c r="Q100" s="419"/>
      <c r="R100" s="420"/>
      <c r="S100" s="420"/>
      <c r="T100" s="420"/>
      <c r="U100" s="420"/>
      <c r="V100" s="421"/>
    </row>
    <row r="101" spans="1:22">
      <c r="A101" s="416"/>
      <c r="B101" s="422"/>
      <c r="C101" s="423"/>
      <c r="D101" s="424"/>
      <c r="E101" s="424"/>
      <c r="F101" s="424"/>
      <c r="G101" s="424"/>
      <c r="H101" s="424"/>
      <c r="I101" s="424"/>
      <c r="J101" s="426"/>
      <c r="K101" s="426"/>
      <c r="L101" s="424"/>
      <c r="M101" s="424"/>
      <c r="N101" s="424"/>
      <c r="O101" s="426"/>
      <c r="P101" s="426"/>
      <c r="Q101" s="424"/>
      <c r="R101" s="426"/>
      <c r="S101" s="426"/>
      <c r="T101" s="426"/>
      <c r="U101" s="426"/>
      <c r="V101" s="421"/>
    </row>
    <row r="102" spans="1:22">
      <c r="A102" s="416"/>
      <c r="B102" s="394"/>
      <c r="C102" s="413"/>
      <c r="D102" s="414"/>
      <c r="E102" s="414"/>
      <c r="F102" s="414"/>
      <c r="G102" s="414"/>
      <c r="H102" s="414"/>
      <c r="I102" s="414"/>
      <c r="J102" s="415"/>
      <c r="K102" s="415"/>
      <c r="L102" s="414"/>
      <c r="M102" s="414"/>
      <c r="N102" s="414"/>
      <c r="O102" s="415"/>
      <c r="P102" s="415"/>
      <c r="Q102" s="414"/>
      <c r="R102" s="415"/>
      <c r="S102" s="415"/>
      <c r="T102" s="415"/>
      <c r="U102" s="415"/>
      <c r="V102" s="421"/>
    </row>
    <row r="103" spans="1:22">
      <c r="A103" s="416"/>
      <c r="B103" s="417"/>
      <c r="C103" s="418"/>
      <c r="D103" s="419"/>
      <c r="E103" s="419"/>
      <c r="F103" s="419"/>
      <c r="G103" s="419"/>
      <c r="H103" s="419"/>
      <c r="I103" s="419"/>
      <c r="J103" s="420"/>
      <c r="K103" s="420"/>
      <c r="L103" s="419"/>
      <c r="M103" s="419"/>
      <c r="N103" s="419"/>
      <c r="O103" s="420"/>
      <c r="P103" s="420"/>
      <c r="Q103" s="419"/>
      <c r="R103" s="420"/>
      <c r="S103" s="420"/>
      <c r="T103" s="420"/>
      <c r="U103" s="420"/>
      <c r="V103" s="421"/>
    </row>
    <row r="104" spans="1:22">
      <c r="A104" s="416"/>
      <c r="B104" s="422"/>
      <c r="C104" s="423"/>
      <c r="D104" s="424"/>
      <c r="E104" s="424"/>
      <c r="F104" s="424"/>
      <c r="G104" s="424"/>
      <c r="H104" s="424"/>
      <c r="I104" s="424"/>
      <c r="J104" s="426"/>
      <c r="K104" s="426"/>
      <c r="L104" s="424"/>
      <c r="M104" s="424"/>
      <c r="N104" s="424"/>
      <c r="O104" s="426"/>
      <c r="P104" s="426"/>
      <c r="Q104" s="424"/>
      <c r="R104" s="426"/>
      <c r="S104" s="426"/>
      <c r="T104" s="426"/>
      <c r="U104" s="426"/>
      <c r="V104" s="421"/>
    </row>
    <row r="105" spans="1:22">
      <c r="A105" s="416"/>
      <c r="B105" s="394"/>
      <c r="C105" s="413"/>
      <c r="D105" s="414"/>
      <c r="E105" s="414"/>
      <c r="F105" s="414"/>
      <c r="G105" s="414"/>
      <c r="H105" s="414"/>
      <c r="I105" s="414"/>
      <c r="J105" s="415"/>
      <c r="K105" s="415"/>
      <c r="L105" s="414"/>
      <c r="M105" s="414"/>
      <c r="N105" s="414"/>
      <c r="O105" s="415"/>
      <c r="P105" s="415"/>
      <c r="Q105" s="414"/>
      <c r="R105" s="415"/>
      <c r="S105" s="415"/>
      <c r="T105" s="415"/>
      <c r="U105" s="415"/>
      <c r="V105" s="421"/>
    </row>
    <row r="106" spans="1:22">
      <c r="A106" s="416"/>
      <c r="B106" s="417"/>
      <c r="C106" s="418"/>
      <c r="D106" s="419"/>
      <c r="E106" s="419"/>
      <c r="F106" s="419"/>
      <c r="G106" s="419"/>
      <c r="H106" s="419"/>
      <c r="I106" s="419"/>
      <c r="J106" s="420"/>
      <c r="K106" s="420"/>
      <c r="L106" s="419"/>
      <c r="M106" s="419"/>
      <c r="N106" s="419"/>
      <c r="O106" s="420"/>
      <c r="P106" s="420"/>
      <c r="Q106" s="419"/>
      <c r="R106" s="420"/>
      <c r="S106" s="420"/>
      <c r="T106" s="420"/>
      <c r="U106" s="420"/>
      <c r="V106" s="421"/>
    </row>
    <row r="107" spans="1:22">
      <c r="A107" s="416"/>
      <c r="B107" s="422"/>
      <c r="C107" s="423"/>
      <c r="D107" s="424"/>
      <c r="E107" s="424"/>
      <c r="F107" s="424"/>
      <c r="G107" s="424"/>
      <c r="H107" s="424"/>
      <c r="I107" s="424"/>
      <c r="J107" s="426"/>
      <c r="K107" s="426"/>
      <c r="L107" s="424"/>
      <c r="M107" s="424"/>
      <c r="N107" s="424"/>
      <c r="O107" s="426"/>
      <c r="P107" s="426"/>
      <c r="Q107" s="424"/>
      <c r="R107" s="426"/>
      <c r="S107" s="426"/>
      <c r="T107" s="426"/>
      <c r="U107" s="426"/>
      <c r="V107" s="421"/>
    </row>
    <row r="108" spans="1:22">
      <c r="A108" s="416"/>
      <c r="B108" s="394"/>
      <c r="C108" s="413"/>
      <c r="D108" s="414"/>
      <c r="E108" s="414"/>
      <c r="F108" s="414"/>
      <c r="G108" s="414"/>
      <c r="H108" s="414"/>
      <c r="I108" s="414"/>
      <c r="J108" s="415"/>
      <c r="K108" s="415"/>
      <c r="L108" s="414"/>
      <c r="M108" s="414"/>
      <c r="N108" s="414"/>
      <c r="O108" s="415"/>
      <c r="P108" s="415"/>
      <c r="Q108" s="414"/>
      <c r="R108" s="415"/>
      <c r="S108" s="415"/>
      <c r="T108" s="415"/>
      <c r="U108" s="415"/>
      <c r="V108" s="421"/>
    </row>
    <row r="109" spans="1:22">
      <c r="A109" s="416"/>
      <c r="B109" s="417"/>
      <c r="C109" s="418"/>
      <c r="D109" s="419"/>
      <c r="E109" s="419"/>
      <c r="F109" s="419"/>
      <c r="G109" s="419"/>
      <c r="H109" s="419"/>
      <c r="I109" s="419"/>
      <c r="J109" s="420"/>
      <c r="K109" s="420"/>
      <c r="L109" s="419"/>
      <c r="M109" s="419"/>
      <c r="N109" s="419"/>
      <c r="O109" s="420"/>
      <c r="P109" s="420"/>
      <c r="Q109" s="419"/>
      <c r="R109" s="420"/>
      <c r="S109" s="420"/>
      <c r="T109" s="420"/>
      <c r="U109" s="420"/>
      <c r="V109" s="421"/>
    </row>
    <row r="110" spans="1:22">
      <c r="A110" s="416"/>
      <c r="B110" s="422"/>
      <c r="C110" s="423"/>
      <c r="D110" s="424"/>
      <c r="E110" s="424"/>
      <c r="F110" s="424"/>
      <c r="G110" s="424"/>
      <c r="H110" s="424"/>
      <c r="I110" s="424"/>
      <c r="J110" s="426"/>
      <c r="K110" s="426"/>
      <c r="L110" s="424"/>
      <c r="M110" s="424"/>
      <c r="N110" s="424"/>
      <c r="O110" s="426"/>
      <c r="P110" s="426"/>
      <c r="Q110" s="424"/>
      <c r="R110" s="426"/>
      <c r="S110" s="426"/>
      <c r="T110" s="426"/>
      <c r="U110" s="426"/>
      <c r="V110" s="421"/>
    </row>
    <row r="111" spans="1:22">
      <c r="A111" s="416"/>
      <c r="B111" s="394"/>
      <c r="C111" s="413"/>
      <c r="D111" s="414"/>
      <c r="E111" s="414"/>
      <c r="F111" s="414"/>
      <c r="G111" s="414"/>
      <c r="H111" s="414"/>
      <c r="I111" s="414"/>
      <c r="J111" s="415"/>
      <c r="K111" s="415"/>
      <c r="L111" s="414"/>
      <c r="M111" s="414"/>
      <c r="N111" s="414"/>
      <c r="O111" s="415"/>
      <c r="P111" s="415"/>
      <c r="Q111" s="414"/>
      <c r="R111" s="415"/>
      <c r="S111" s="415"/>
      <c r="T111" s="415"/>
      <c r="U111" s="415"/>
      <c r="V111" s="421"/>
    </row>
    <row r="112" spans="1:22">
      <c r="A112" s="416"/>
      <c r="B112" s="417"/>
      <c r="C112" s="418"/>
      <c r="D112" s="419"/>
      <c r="E112" s="419"/>
      <c r="F112" s="419"/>
      <c r="G112" s="419"/>
      <c r="H112" s="419"/>
      <c r="I112" s="419"/>
      <c r="J112" s="420"/>
      <c r="K112" s="420"/>
      <c r="L112" s="419"/>
      <c r="M112" s="419"/>
      <c r="N112" s="419"/>
      <c r="O112" s="420"/>
      <c r="P112" s="420"/>
      <c r="Q112" s="419"/>
      <c r="R112" s="420"/>
      <c r="S112" s="420"/>
      <c r="T112" s="420"/>
      <c r="U112" s="420"/>
      <c r="V112" s="421"/>
    </row>
    <row r="113" spans="1:22" ht="15" thickBot="1">
      <c r="A113" s="432"/>
      <c r="B113" s="433"/>
      <c r="C113" s="434"/>
      <c r="D113" s="435"/>
      <c r="E113" s="435"/>
      <c r="F113" s="435"/>
      <c r="G113" s="435"/>
      <c r="H113" s="435"/>
      <c r="I113" s="435"/>
      <c r="J113" s="436"/>
      <c r="K113" s="436"/>
      <c r="L113" s="435"/>
      <c r="M113" s="435"/>
      <c r="N113" s="435"/>
      <c r="O113" s="436"/>
      <c r="P113" s="436"/>
      <c r="Q113" s="435"/>
      <c r="R113" s="436"/>
      <c r="S113" s="436"/>
      <c r="T113" s="436"/>
      <c r="U113" s="436"/>
      <c r="V113" s="421"/>
    </row>
    <row r="114" spans="1:22">
      <c r="A114" s="412"/>
      <c r="B114" s="394"/>
      <c r="C114" s="413"/>
      <c r="D114" s="414"/>
      <c r="E114" s="414"/>
      <c r="F114" s="414"/>
      <c r="G114" s="414"/>
      <c r="H114" s="414"/>
      <c r="I114" s="414"/>
      <c r="J114" s="415"/>
      <c r="K114" s="415"/>
      <c r="L114" s="414"/>
      <c r="M114" s="414"/>
      <c r="N114" s="414"/>
      <c r="O114" s="415"/>
      <c r="P114" s="415"/>
      <c r="Q114" s="414"/>
      <c r="R114" s="415"/>
      <c r="S114" s="415"/>
      <c r="T114" s="415"/>
      <c r="U114" s="415"/>
      <c r="V114" s="421"/>
    </row>
    <row r="115" spans="1:22">
      <c r="A115" s="416"/>
      <c r="B115" s="417"/>
      <c r="C115" s="418"/>
      <c r="D115" s="419"/>
      <c r="E115" s="419"/>
      <c r="F115" s="419"/>
      <c r="G115" s="419"/>
      <c r="H115" s="419"/>
      <c r="I115" s="419"/>
      <c r="J115" s="420"/>
      <c r="K115" s="420"/>
      <c r="L115" s="419"/>
      <c r="M115" s="419"/>
      <c r="N115" s="419"/>
      <c r="O115" s="420"/>
      <c r="P115" s="420"/>
      <c r="Q115" s="419"/>
      <c r="R115" s="420"/>
      <c r="S115" s="420"/>
      <c r="T115" s="420"/>
      <c r="U115" s="420"/>
      <c r="V115" s="421"/>
    </row>
    <row r="116" spans="1:22">
      <c r="A116" s="416"/>
      <c r="B116" s="422"/>
      <c r="C116" s="423"/>
      <c r="D116" s="424"/>
      <c r="E116" s="424"/>
      <c r="F116" s="424"/>
      <c r="G116" s="424"/>
      <c r="H116" s="424"/>
      <c r="I116" s="424"/>
      <c r="J116" s="426"/>
      <c r="K116" s="426"/>
      <c r="L116" s="424"/>
      <c r="M116" s="424"/>
      <c r="N116" s="424"/>
      <c r="O116" s="426"/>
      <c r="P116" s="426"/>
      <c r="Q116" s="424"/>
      <c r="R116" s="426"/>
      <c r="S116" s="426"/>
      <c r="T116" s="426"/>
      <c r="U116" s="426"/>
      <c r="V116" s="421"/>
    </row>
    <row r="117" spans="1:22">
      <c r="A117" s="416"/>
      <c r="B117" s="394"/>
      <c r="C117" s="413"/>
      <c r="D117" s="414"/>
      <c r="E117" s="414"/>
      <c r="F117" s="414"/>
      <c r="G117" s="414"/>
      <c r="H117" s="414"/>
      <c r="I117" s="414"/>
      <c r="J117" s="415"/>
      <c r="K117" s="415"/>
      <c r="L117" s="414"/>
      <c r="M117" s="414"/>
      <c r="N117" s="414"/>
      <c r="O117" s="415"/>
      <c r="P117" s="415"/>
      <c r="Q117" s="414"/>
      <c r="R117" s="415"/>
      <c r="S117" s="415"/>
      <c r="T117" s="415"/>
      <c r="U117" s="415"/>
      <c r="V117" s="421"/>
    </row>
    <row r="118" spans="1:22">
      <c r="A118" s="416"/>
      <c r="B118" s="417"/>
      <c r="C118" s="418"/>
      <c r="D118" s="419"/>
      <c r="E118" s="419"/>
      <c r="F118" s="419"/>
      <c r="G118" s="419"/>
      <c r="H118" s="419"/>
      <c r="I118" s="419"/>
      <c r="J118" s="420"/>
      <c r="K118" s="420"/>
      <c r="L118" s="419"/>
      <c r="M118" s="419"/>
      <c r="N118" s="419"/>
      <c r="O118" s="420"/>
      <c r="P118" s="420"/>
      <c r="Q118" s="419"/>
      <c r="R118" s="420"/>
      <c r="S118" s="420"/>
      <c r="T118" s="420"/>
      <c r="U118" s="420"/>
      <c r="V118" s="421"/>
    </row>
    <row r="119" spans="1:22">
      <c r="A119" s="416"/>
      <c r="B119" s="422"/>
      <c r="C119" s="423"/>
      <c r="D119" s="424"/>
      <c r="E119" s="424"/>
      <c r="F119" s="424"/>
      <c r="G119" s="424"/>
      <c r="H119" s="424"/>
      <c r="I119" s="424"/>
      <c r="J119" s="426"/>
      <c r="K119" s="426"/>
      <c r="L119" s="424"/>
      <c r="M119" s="424"/>
      <c r="N119" s="424"/>
      <c r="O119" s="426"/>
      <c r="P119" s="426"/>
      <c r="Q119" s="424"/>
      <c r="R119" s="426"/>
      <c r="S119" s="426"/>
      <c r="T119" s="426"/>
      <c r="U119" s="426"/>
      <c r="V119" s="421"/>
    </row>
    <row r="120" spans="1:22">
      <c r="A120" s="416"/>
      <c r="B120" s="394"/>
      <c r="C120" s="413"/>
      <c r="D120" s="414"/>
      <c r="E120" s="414"/>
      <c r="F120" s="414"/>
      <c r="G120" s="414"/>
      <c r="H120" s="414"/>
      <c r="I120" s="414"/>
      <c r="J120" s="415"/>
      <c r="K120" s="415"/>
      <c r="L120" s="414"/>
      <c r="M120" s="414"/>
      <c r="N120" s="414"/>
      <c r="O120" s="415"/>
      <c r="P120" s="415"/>
      <c r="Q120" s="414"/>
      <c r="R120" s="415"/>
      <c r="S120" s="415"/>
      <c r="T120" s="415"/>
      <c r="U120" s="415"/>
      <c r="V120" s="421"/>
    </row>
    <row r="121" spans="1:22">
      <c r="A121" s="416"/>
      <c r="B121" s="417"/>
      <c r="C121" s="418"/>
      <c r="D121" s="419"/>
      <c r="E121" s="419"/>
      <c r="F121" s="419"/>
      <c r="G121" s="419"/>
      <c r="H121" s="419"/>
      <c r="I121" s="419"/>
      <c r="J121" s="420"/>
      <c r="K121" s="420"/>
      <c r="L121" s="419"/>
      <c r="M121" s="419"/>
      <c r="N121" s="419"/>
      <c r="O121" s="420"/>
      <c r="P121" s="420"/>
      <c r="Q121" s="419"/>
      <c r="R121" s="420"/>
      <c r="S121" s="420"/>
      <c r="T121" s="420"/>
      <c r="U121" s="420"/>
      <c r="V121" s="421"/>
    </row>
    <row r="122" spans="1:22">
      <c r="A122" s="416"/>
      <c r="B122" s="422"/>
      <c r="C122" s="423"/>
      <c r="D122" s="424"/>
      <c r="E122" s="424"/>
      <c r="F122" s="424"/>
      <c r="G122" s="424"/>
      <c r="H122" s="424"/>
      <c r="I122" s="424"/>
      <c r="J122" s="426"/>
      <c r="K122" s="426"/>
      <c r="L122" s="424"/>
      <c r="M122" s="424"/>
      <c r="N122" s="424"/>
      <c r="O122" s="426"/>
      <c r="P122" s="426"/>
      <c r="Q122" s="424"/>
      <c r="R122" s="426"/>
      <c r="S122" s="426"/>
      <c r="T122" s="426"/>
      <c r="U122" s="426"/>
      <c r="V122" s="421"/>
    </row>
    <row r="123" spans="1:22">
      <c r="A123" s="416"/>
      <c r="B123" s="394"/>
      <c r="C123" s="413"/>
      <c r="D123" s="414"/>
      <c r="E123" s="414"/>
      <c r="F123" s="414"/>
      <c r="G123" s="414"/>
      <c r="H123" s="414"/>
      <c r="I123" s="414"/>
      <c r="J123" s="415"/>
      <c r="K123" s="415"/>
      <c r="L123" s="414"/>
      <c r="M123" s="414"/>
      <c r="N123" s="414"/>
      <c r="O123" s="415"/>
      <c r="P123" s="415"/>
      <c r="Q123" s="414"/>
      <c r="R123" s="415"/>
      <c r="S123" s="415"/>
      <c r="T123" s="415"/>
      <c r="U123" s="415"/>
      <c r="V123" s="421"/>
    </row>
    <row r="124" spans="1:22">
      <c r="A124" s="416"/>
      <c r="B124" s="417"/>
      <c r="C124" s="418"/>
      <c r="D124" s="419"/>
      <c r="E124" s="419"/>
      <c r="F124" s="419"/>
      <c r="G124" s="419"/>
      <c r="H124" s="419"/>
      <c r="I124" s="419"/>
      <c r="J124" s="420"/>
      <c r="K124" s="420"/>
      <c r="L124" s="419"/>
      <c r="M124" s="419"/>
      <c r="N124" s="419"/>
      <c r="O124" s="420"/>
      <c r="P124" s="420"/>
      <c r="Q124" s="419"/>
      <c r="R124" s="420"/>
      <c r="S124" s="420"/>
      <c r="T124" s="420"/>
      <c r="U124" s="420"/>
      <c r="V124" s="421"/>
    </row>
    <row r="125" spans="1:22">
      <c r="A125" s="416"/>
      <c r="B125" s="422"/>
      <c r="C125" s="423"/>
      <c r="D125" s="424"/>
      <c r="E125" s="424"/>
      <c r="F125" s="424"/>
      <c r="G125" s="424"/>
      <c r="H125" s="424"/>
      <c r="I125" s="424"/>
      <c r="J125" s="426"/>
      <c r="K125" s="426"/>
      <c r="L125" s="424"/>
      <c r="M125" s="424"/>
      <c r="N125" s="424"/>
      <c r="O125" s="426"/>
      <c r="P125" s="426"/>
      <c r="Q125" s="424"/>
      <c r="R125" s="426"/>
      <c r="S125" s="426"/>
      <c r="T125" s="426"/>
      <c r="U125" s="426"/>
      <c r="V125" s="421"/>
    </row>
    <row r="126" spans="1:22">
      <c r="A126" s="416"/>
      <c r="B126" s="394"/>
      <c r="C126" s="413"/>
      <c r="D126" s="414"/>
      <c r="E126" s="414"/>
      <c r="F126" s="414"/>
      <c r="G126" s="414"/>
      <c r="H126" s="414"/>
      <c r="I126" s="414"/>
      <c r="J126" s="415"/>
      <c r="K126" s="415"/>
      <c r="L126" s="414"/>
      <c r="M126" s="414"/>
      <c r="N126" s="414"/>
      <c r="O126" s="415"/>
      <c r="P126" s="415"/>
      <c r="Q126" s="414"/>
      <c r="R126" s="415"/>
      <c r="S126" s="415"/>
      <c r="T126" s="415"/>
      <c r="U126" s="415"/>
      <c r="V126" s="421"/>
    </row>
    <row r="127" spans="1:22">
      <c r="A127" s="416"/>
      <c r="B127" s="417"/>
      <c r="C127" s="418"/>
      <c r="D127" s="419"/>
      <c r="E127" s="419"/>
      <c r="F127" s="419"/>
      <c r="G127" s="419"/>
      <c r="H127" s="419"/>
      <c r="I127" s="419"/>
      <c r="J127" s="420"/>
      <c r="K127" s="420"/>
      <c r="L127" s="419"/>
      <c r="M127" s="419"/>
      <c r="N127" s="419"/>
      <c r="O127" s="420"/>
      <c r="P127" s="420"/>
      <c r="Q127" s="419"/>
      <c r="R127" s="420"/>
      <c r="S127" s="420"/>
      <c r="T127" s="420"/>
      <c r="U127" s="420"/>
      <c r="V127" s="421"/>
    </row>
    <row r="128" spans="1:22">
      <c r="A128" s="416"/>
      <c r="B128" s="422"/>
      <c r="C128" s="423"/>
      <c r="D128" s="424"/>
      <c r="E128" s="424"/>
      <c r="F128" s="424"/>
      <c r="G128" s="424"/>
      <c r="H128" s="424"/>
      <c r="I128" s="424"/>
      <c r="J128" s="426"/>
      <c r="K128" s="426"/>
      <c r="L128" s="424"/>
      <c r="M128" s="424"/>
      <c r="N128" s="424"/>
      <c r="O128" s="426"/>
      <c r="P128" s="426"/>
      <c r="Q128" s="424"/>
      <c r="R128" s="426"/>
      <c r="S128" s="426"/>
      <c r="T128" s="426"/>
      <c r="U128" s="426"/>
      <c r="V128" s="421"/>
    </row>
    <row r="129" spans="1:22">
      <c r="A129" s="416"/>
      <c r="B129" s="394"/>
      <c r="C129" s="413"/>
      <c r="D129" s="414"/>
      <c r="E129" s="414"/>
      <c r="F129" s="414"/>
      <c r="G129" s="414"/>
      <c r="H129" s="414"/>
      <c r="I129" s="414"/>
      <c r="J129" s="415"/>
      <c r="K129" s="415"/>
      <c r="L129" s="414"/>
      <c r="M129" s="414"/>
      <c r="N129" s="414"/>
      <c r="O129" s="415"/>
      <c r="P129" s="415"/>
      <c r="Q129" s="414"/>
      <c r="R129" s="415"/>
      <c r="S129" s="415"/>
      <c r="T129" s="415"/>
      <c r="U129" s="415"/>
      <c r="V129" s="421"/>
    </row>
    <row r="130" spans="1:22">
      <c r="A130" s="416"/>
      <c r="B130" s="417"/>
      <c r="C130" s="418"/>
      <c r="D130" s="419"/>
      <c r="E130" s="419"/>
      <c r="F130" s="419"/>
      <c r="G130" s="419"/>
      <c r="H130" s="419"/>
      <c r="I130" s="419"/>
      <c r="J130" s="420"/>
      <c r="K130" s="420"/>
      <c r="L130" s="419"/>
      <c r="M130" s="419"/>
      <c r="N130" s="419"/>
      <c r="O130" s="420"/>
      <c r="P130" s="420"/>
      <c r="Q130" s="419"/>
      <c r="R130" s="420"/>
      <c r="S130" s="420"/>
      <c r="T130" s="420"/>
      <c r="U130" s="420"/>
      <c r="V130" s="421"/>
    </row>
    <row r="131" spans="1:22" ht="15" thickBot="1">
      <c r="A131" s="416"/>
      <c r="B131" s="428"/>
      <c r="C131" s="429"/>
      <c r="D131" s="430"/>
      <c r="E131" s="430"/>
      <c r="F131" s="430"/>
      <c r="G131" s="430"/>
      <c r="H131" s="430"/>
      <c r="I131" s="430"/>
      <c r="J131" s="431"/>
      <c r="K131" s="431"/>
      <c r="L131" s="430"/>
      <c r="M131" s="430"/>
      <c r="N131" s="430"/>
      <c r="O131" s="431"/>
      <c r="P131" s="431"/>
      <c r="Q131" s="430"/>
      <c r="R131" s="431"/>
      <c r="S131" s="431"/>
      <c r="T131" s="431"/>
      <c r="U131" s="431"/>
      <c r="V131" s="421"/>
    </row>
    <row r="132" spans="1:22" ht="15" thickTop="1">
      <c r="A132" s="416"/>
      <c r="B132" s="417"/>
      <c r="C132" s="418"/>
      <c r="D132" s="419"/>
      <c r="E132" s="419"/>
      <c r="F132" s="419"/>
      <c r="G132" s="419"/>
      <c r="H132" s="419"/>
      <c r="I132" s="419"/>
      <c r="J132" s="420"/>
      <c r="K132" s="420"/>
      <c r="L132" s="419"/>
      <c r="M132" s="419"/>
      <c r="N132" s="419"/>
      <c r="O132" s="420"/>
      <c r="P132" s="420"/>
      <c r="Q132" s="419"/>
      <c r="R132" s="420"/>
      <c r="S132" s="420"/>
      <c r="T132" s="420"/>
      <c r="U132" s="420"/>
      <c r="V132" s="421"/>
    </row>
    <row r="133" spans="1:22">
      <c r="A133" s="416"/>
      <c r="B133" s="417"/>
      <c r="C133" s="418"/>
      <c r="D133" s="419"/>
      <c r="E133" s="419"/>
      <c r="F133" s="419"/>
      <c r="G133" s="419"/>
      <c r="H133" s="419"/>
      <c r="I133" s="419"/>
      <c r="J133" s="420"/>
      <c r="K133" s="420"/>
      <c r="L133" s="419"/>
      <c r="M133" s="419"/>
      <c r="N133" s="419"/>
      <c r="O133" s="420"/>
      <c r="P133" s="420"/>
      <c r="Q133" s="419"/>
      <c r="R133" s="420"/>
      <c r="S133" s="420"/>
      <c r="T133" s="420"/>
      <c r="U133" s="420"/>
      <c r="V133" s="421"/>
    </row>
    <row r="134" spans="1:22">
      <c r="A134" s="416"/>
      <c r="B134" s="422"/>
      <c r="C134" s="423"/>
      <c r="D134" s="424"/>
      <c r="E134" s="424"/>
      <c r="F134" s="424"/>
      <c r="G134" s="424"/>
      <c r="H134" s="424"/>
      <c r="I134" s="424"/>
      <c r="J134" s="426"/>
      <c r="K134" s="426"/>
      <c r="L134" s="424"/>
      <c r="M134" s="424"/>
      <c r="N134" s="424"/>
      <c r="O134" s="426"/>
      <c r="P134" s="426"/>
      <c r="Q134" s="424"/>
      <c r="R134" s="426"/>
      <c r="S134" s="426"/>
      <c r="T134" s="426"/>
      <c r="U134" s="426"/>
      <c r="V134" s="421"/>
    </row>
    <row r="135" spans="1:22">
      <c r="A135" s="416"/>
      <c r="B135" s="394"/>
      <c r="C135" s="413"/>
      <c r="D135" s="414"/>
      <c r="E135" s="414"/>
      <c r="F135" s="414"/>
      <c r="G135" s="414"/>
      <c r="H135" s="414"/>
      <c r="I135" s="414"/>
      <c r="J135" s="415"/>
      <c r="K135" s="415"/>
      <c r="L135" s="414"/>
      <c r="M135" s="414"/>
      <c r="N135" s="414"/>
      <c r="O135" s="415"/>
      <c r="P135" s="415"/>
      <c r="Q135" s="414"/>
      <c r="R135" s="415"/>
      <c r="S135" s="415"/>
      <c r="T135" s="415"/>
      <c r="U135" s="415"/>
      <c r="V135" s="421"/>
    </row>
    <row r="136" spans="1:22">
      <c r="A136" s="416"/>
      <c r="B136" s="417"/>
      <c r="C136" s="418"/>
      <c r="D136" s="419"/>
      <c r="E136" s="419"/>
      <c r="F136" s="419"/>
      <c r="G136" s="419"/>
      <c r="H136" s="419"/>
      <c r="I136" s="419"/>
      <c r="J136" s="420"/>
      <c r="K136" s="420"/>
      <c r="L136" s="419"/>
      <c r="M136" s="419"/>
      <c r="N136" s="419"/>
      <c r="O136" s="420"/>
      <c r="P136" s="420"/>
      <c r="Q136" s="419"/>
      <c r="R136" s="420"/>
      <c r="S136" s="420"/>
      <c r="T136" s="420"/>
      <c r="U136" s="420"/>
      <c r="V136" s="421"/>
    </row>
    <row r="137" spans="1:22">
      <c r="A137" s="416"/>
      <c r="B137" s="422"/>
      <c r="C137" s="423"/>
      <c r="D137" s="424"/>
      <c r="E137" s="424"/>
      <c r="F137" s="424"/>
      <c r="G137" s="424"/>
      <c r="H137" s="424"/>
      <c r="I137" s="424"/>
      <c r="J137" s="426"/>
      <c r="K137" s="426"/>
      <c r="L137" s="424"/>
      <c r="M137" s="424"/>
      <c r="N137" s="424"/>
      <c r="O137" s="426"/>
      <c r="P137" s="426"/>
      <c r="Q137" s="424"/>
      <c r="R137" s="426"/>
      <c r="S137" s="426"/>
      <c r="T137" s="426"/>
      <c r="U137" s="426"/>
      <c r="V137" s="421"/>
    </row>
    <row r="138" spans="1:22">
      <c r="A138" s="416"/>
      <c r="B138" s="394"/>
      <c r="C138" s="413"/>
      <c r="D138" s="414"/>
      <c r="E138" s="414"/>
      <c r="F138" s="414"/>
      <c r="G138" s="414"/>
      <c r="H138" s="414"/>
      <c r="I138" s="414"/>
      <c r="J138" s="415"/>
      <c r="K138" s="415"/>
      <c r="L138" s="414"/>
      <c r="M138" s="414"/>
      <c r="N138" s="414"/>
      <c r="O138" s="415"/>
      <c r="P138" s="415"/>
      <c r="Q138" s="414"/>
      <c r="R138" s="415"/>
      <c r="S138" s="415"/>
      <c r="T138" s="415"/>
      <c r="U138" s="415"/>
      <c r="V138" s="421"/>
    </row>
    <row r="139" spans="1:22">
      <c r="A139" s="416"/>
      <c r="B139" s="417"/>
      <c r="C139" s="418"/>
      <c r="D139" s="419"/>
      <c r="E139" s="419"/>
      <c r="F139" s="419"/>
      <c r="G139" s="419"/>
      <c r="H139" s="419"/>
      <c r="I139" s="419"/>
      <c r="J139" s="420"/>
      <c r="K139" s="420"/>
      <c r="L139" s="419"/>
      <c r="M139" s="419"/>
      <c r="N139" s="419"/>
      <c r="O139" s="420"/>
      <c r="P139" s="420"/>
      <c r="Q139" s="419"/>
      <c r="R139" s="420"/>
      <c r="S139" s="420"/>
      <c r="T139" s="420"/>
      <c r="U139" s="420"/>
      <c r="V139" s="421"/>
    </row>
    <row r="140" spans="1:22">
      <c r="A140" s="416"/>
      <c r="B140" s="422"/>
      <c r="C140" s="423"/>
      <c r="D140" s="424"/>
      <c r="E140" s="424"/>
      <c r="F140" s="424"/>
      <c r="G140" s="424"/>
      <c r="H140" s="424"/>
      <c r="I140" s="424"/>
      <c r="J140" s="426"/>
      <c r="K140" s="426"/>
      <c r="L140" s="424"/>
      <c r="M140" s="424"/>
      <c r="N140" s="424"/>
      <c r="O140" s="426"/>
      <c r="P140" s="426"/>
      <c r="Q140" s="424"/>
      <c r="R140" s="426"/>
      <c r="S140" s="426"/>
      <c r="T140" s="426"/>
      <c r="U140" s="426"/>
      <c r="V140" s="421"/>
    </row>
    <row r="141" spans="1:22">
      <c r="A141" s="416"/>
      <c r="B141" s="394"/>
      <c r="C141" s="413"/>
      <c r="D141" s="414"/>
      <c r="E141" s="414"/>
      <c r="F141" s="414"/>
      <c r="G141" s="414"/>
      <c r="H141" s="414"/>
      <c r="I141" s="414"/>
      <c r="J141" s="415"/>
      <c r="K141" s="415"/>
      <c r="L141" s="414"/>
      <c r="M141" s="414"/>
      <c r="N141" s="414"/>
      <c r="O141" s="415"/>
      <c r="P141" s="415"/>
      <c r="Q141" s="414"/>
      <c r="R141" s="415"/>
      <c r="S141" s="415"/>
      <c r="T141" s="415"/>
      <c r="U141" s="415"/>
      <c r="V141" s="421"/>
    </row>
    <row r="142" spans="1:22">
      <c r="A142" s="416"/>
      <c r="B142" s="417"/>
      <c r="C142" s="418"/>
      <c r="D142" s="419"/>
      <c r="E142" s="419"/>
      <c r="F142" s="419"/>
      <c r="G142" s="419"/>
      <c r="H142" s="419"/>
      <c r="I142" s="419"/>
      <c r="J142" s="420"/>
      <c r="K142" s="420"/>
      <c r="L142" s="419"/>
      <c r="M142" s="419"/>
      <c r="N142" s="419"/>
      <c r="O142" s="420"/>
      <c r="P142" s="420"/>
      <c r="Q142" s="419"/>
      <c r="R142" s="420"/>
      <c r="S142" s="420"/>
      <c r="T142" s="420"/>
      <c r="U142" s="420"/>
      <c r="V142" s="421"/>
    </row>
    <row r="143" spans="1:22">
      <c r="A143" s="416"/>
      <c r="B143" s="422"/>
      <c r="C143" s="423"/>
      <c r="D143" s="424"/>
      <c r="E143" s="424"/>
      <c r="F143" s="424"/>
      <c r="G143" s="424"/>
      <c r="H143" s="424"/>
      <c r="I143" s="424"/>
      <c r="J143" s="426"/>
      <c r="K143" s="426"/>
      <c r="L143" s="424"/>
      <c r="M143" s="424"/>
      <c r="N143" s="424"/>
      <c r="O143" s="426"/>
      <c r="P143" s="426"/>
      <c r="Q143" s="424"/>
      <c r="R143" s="426"/>
      <c r="S143" s="426"/>
      <c r="T143" s="426"/>
      <c r="U143" s="426"/>
      <c r="V143" s="421"/>
    </row>
    <row r="144" spans="1:22">
      <c r="A144" s="416"/>
      <c r="B144" s="394"/>
      <c r="C144" s="413"/>
      <c r="D144" s="414"/>
      <c r="E144" s="414"/>
      <c r="F144" s="414"/>
      <c r="G144" s="414"/>
      <c r="H144" s="414"/>
      <c r="I144" s="414"/>
      <c r="J144" s="415"/>
      <c r="K144" s="415"/>
      <c r="L144" s="414"/>
      <c r="M144" s="414"/>
      <c r="N144" s="414"/>
      <c r="O144" s="415"/>
      <c r="P144" s="415"/>
      <c r="Q144" s="414"/>
      <c r="R144" s="415"/>
      <c r="S144" s="415"/>
      <c r="T144" s="415"/>
      <c r="U144" s="415"/>
      <c r="V144" s="421"/>
    </row>
    <row r="145" spans="1:22">
      <c r="A145" s="416"/>
      <c r="B145" s="417"/>
      <c r="C145" s="418"/>
      <c r="D145" s="419"/>
      <c r="E145" s="419"/>
      <c r="F145" s="419"/>
      <c r="G145" s="419"/>
      <c r="H145" s="419"/>
      <c r="I145" s="419"/>
      <c r="J145" s="420"/>
      <c r="K145" s="420"/>
      <c r="L145" s="419"/>
      <c r="M145" s="419"/>
      <c r="N145" s="419"/>
      <c r="O145" s="420"/>
      <c r="P145" s="420"/>
      <c r="Q145" s="419"/>
      <c r="R145" s="420"/>
      <c r="S145" s="420"/>
      <c r="T145" s="420"/>
      <c r="U145" s="420"/>
      <c r="V145" s="421"/>
    </row>
    <row r="146" spans="1:22">
      <c r="A146" s="416"/>
      <c r="B146" s="422"/>
      <c r="C146" s="423"/>
      <c r="D146" s="424"/>
      <c r="E146" s="424"/>
      <c r="F146" s="424"/>
      <c r="G146" s="424"/>
      <c r="H146" s="424"/>
      <c r="I146" s="424"/>
      <c r="J146" s="426"/>
      <c r="K146" s="426"/>
      <c r="L146" s="424"/>
      <c r="M146" s="424"/>
      <c r="N146" s="424"/>
      <c r="O146" s="426"/>
      <c r="P146" s="426"/>
      <c r="Q146" s="424"/>
      <c r="R146" s="426"/>
      <c r="S146" s="426"/>
      <c r="T146" s="426"/>
      <c r="U146" s="426"/>
      <c r="V146" s="421"/>
    </row>
    <row r="147" spans="1:22">
      <c r="A147" s="416"/>
      <c r="B147" s="394"/>
      <c r="C147" s="413"/>
      <c r="D147" s="414"/>
      <c r="E147" s="414"/>
      <c r="F147" s="414"/>
      <c r="G147" s="414"/>
      <c r="H147" s="414"/>
      <c r="I147" s="414"/>
      <c r="J147" s="415"/>
      <c r="K147" s="415"/>
      <c r="L147" s="414"/>
      <c r="M147" s="414"/>
      <c r="N147" s="414"/>
      <c r="O147" s="415"/>
      <c r="P147" s="415"/>
      <c r="Q147" s="414"/>
      <c r="R147" s="415"/>
      <c r="S147" s="415"/>
      <c r="T147" s="415"/>
      <c r="U147" s="415"/>
      <c r="V147" s="421"/>
    </row>
    <row r="148" spans="1:22">
      <c r="A148" s="416"/>
      <c r="B148" s="417"/>
      <c r="C148" s="418"/>
      <c r="D148" s="419"/>
      <c r="E148" s="419"/>
      <c r="F148" s="419"/>
      <c r="G148" s="419"/>
      <c r="H148" s="419"/>
      <c r="I148" s="419"/>
      <c r="J148" s="420"/>
      <c r="K148" s="420"/>
      <c r="L148" s="419"/>
      <c r="M148" s="419"/>
      <c r="N148" s="419"/>
      <c r="O148" s="420"/>
      <c r="P148" s="420"/>
      <c r="Q148" s="419"/>
      <c r="R148" s="420"/>
      <c r="S148" s="420"/>
      <c r="T148" s="420"/>
      <c r="U148" s="420"/>
      <c r="V148" s="421"/>
    </row>
    <row r="149" spans="1:22" ht="15" thickBot="1">
      <c r="A149" s="432"/>
      <c r="B149" s="433"/>
      <c r="C149" s="434"/>
      <c r="D149" s="435"/>
      <c r="E149" s="435"/>
      <c r="F149" s="435"/>
      <c r="G149" s="435"/>
      <c r="H149" s="435"/>
      <c r="I149" s="435"/>
      <c r="J149" s="436"/>
      <c r="K149" s="436"/>
      <c r="L149" s="435"/>
      <c r="M149" s="435"/>
      <c r="N149" s="435"/>
      <c r="O149" s="436"/>
      <c r="P149" s="436"/>
      <c r="Q149" s="435"/>
      <c r="R149" s="436"/>
      <c r="S149" s="436"/>
      <c r="T149" s="436"/>
      <c r="U149" s="436"/>
      <c r="V149" s="421"/>
    </row>
    <row r="150" spans="1:22">
      <c r="A150" s="412"/>
      <c r="B150" s="394"/>
      <c r="C150" s="413"/>
      <c r="D150" s="414"/>
      <c r="E150" s="414"/>
      <c r="F150" s="414"/>
      <c r="G150" s="414"/>
      <c r="H150" s="414"/>
      <c r="I150" s="414"/>
      <c r="J150" s="415"/>
      <c r="K150" s="415"/>
      <c r="L150" s="414"/>
      <c r="M150" s="414"/>
      <c r="N150" s="414"/>
      <c r="O150" s="415"/>
      <c r="P150" s="415"/>
      <c r="Q150" s="414"/>
      <c r="R150" s="415"/>
      <c r="S150" s="415"/>
      <c r="T150" s="415"/>
      <c r="U150" s="415"/>
      <c r="V150" s="421"/>
    </row>
    <row r="151" spans="1:22">
      <c r="A151" s="416"/>
      <c r="B151" s="417"/>
      <c r="C151" s="418"/>
      <c r="D151" s="419"/>
      <c r="E151" s="419"/>
      <c r="F151" s="419"/>
      <c r="G151" s="419"/>
      <c r="H151" s="419"/>
      <c r="I151" s="419"/>
      <c r="J151" s="420"/>
      <c r="K151" s="420"/>
      <c r="L151" s="419"/>
      <c r="M151" s="419"/>
      <c r="N151" s="419"/>
      <c r="O151" s="420"/>
      <c r="P151" s="420"/>
      <c r="Q151" s="419"/>
      <c r="R151" s="420"/>
      <c r="S151" s="420"/>
      <c r="T151" s="420"/>
      <c r="U151" s="420"/>
      <c r="V151" s="421"/>
    </row>
    <row r="152" spans="1:22">
      <c r="A152" s="416"/>
      <c r="B152" s="422"/>
      <c r="C152" s="423"/>
      <c r="D152" s="424"/>
      <c r="E152" s="424"/>
      <c r="F152" s="424"/>
      <c r="G152" s="424"/>
      <c r="H152" s="424"/>
      <c r="I152" s="424"/>
      <c r="J152" s="426"/>
      <c r="K152" s="426"/>
      <c r="L152" s="424"/>
      <c r="M152" s="424"/>
      <c r="N152" s="424"/>
      <c r="O152" s="426"/>
      <c r="P152" s="426"/>
      <c r="Q152" s="424"/>
      <c r="R152" s="426"/>
      <c r="S152" s="426"/>
      <c r="T152" s="426"/>
      <c r="U152" s="426"/>
      <c r="V152" s="421"/>
    </row>
    <row r="153" spans="1:22">
      <c r="A153" s="416"/>
      <c r="B153" s="394"/>
      <c r="C153" s="413"/>
      <c r="D153" s="414"/>
      <c r="E153" s="414"/>
      <c r="F153" s="414"/>
      <c r="G153" s="414"/>
      <c r="H153" s="414"/>
      <c r="I153" s="414"/>
      <c r="J153" s="415"/>
      <c r="K153" s="415"/>
      <c r="L153" s="414"/>
      <c r="M153" s="414"/>
      <c r="N153" s="414"/>
      <c r="O153" s="415"/>
      <c r="P153" s="415"/>
      <c r="Q153" s="414"/>
      <c r="R153" s="415"/>
      <c r="S153" s="415"/>
      <c r="T153" s="415"/>
      <c r="U153" s="415"/>
      <c r="V153" s="421"/>
    </row>
    <row r="154" spans="1:22">
      <c r="A154" s="416"/>
      <c r="B154" s="417"/>
      <c r="C154" s="418"/>
      <c r="D154" s="419"/>
      <c r="E154" s="419"/>
      <c r="F154" s="419"/>
      <c r="G154" s="419"/>
      <c r="H154" s="419"/>
      <c r="I154" s="419"/>
      <c r="J154" s="420"/>
      <c r="K154" s="420"/>
      <c r="L154" s="419"/>
      <c r="M154" s="419"/>
      <c r="N154" s="419"/>
      <c r="O154" s="420"/>
      <c r="P154" s="420"/>
      <c r="Q154" s="419"/>
      <c r="R154" s="420"/>
      <c r="S154" s="420"/>
      <c r="T154" s="420"/>
      <c r="U154" s="420"/>
      <c r="V154" s="421"/>
    </row>
    <row r="155" spans="1:22">
      <c r="A155" s="416"/>
      <c r="B155" s="422"/>
      <c r="C155" s="423"/>
      <c r="D155" s="424"/>
      <c r="E155" s="424"/>
      <c r="F155" s="424"/>
      <c r="G155" s="424"/>
      <c r="H155" s="424"/>
      <c r="I155" s="424"/>
      <c r="J155" s="426"/>
      <c r="K155" s="426"/>
      <c r="L155" s="424"/>
      <c r="M155" s="424"/>
      <c r="N155" s="424"/>
      <c r="O155" s="426"/>
      <c r="P155" s="426"/>
      <c r="Q155" s="424"/>
      <c r="R155" s="426"/>
      <c r="S155" s="426"/>
      <c r="T155" s="426"/>
      <c r="U155" s="426"/>
      <c r="V155" s="421"/>
    </row>
    <row r="156" spans="1:22">
      <c r="A156" s="416"/>
      <c r="B156" s="394"/>
      <c r="C156" s="413"/>
      <c r="D156" s="414"/>
      <c r="E156" s="414"/>
      <c r="F156" s="414"/>
      <c r="G156" s="414"/>
      <c r="H156" s="414"/>
      <c r="I156" s="414"/>
      <c r="J156" s="415"/>
      <c r="K156" s="415"/>
      <c r="L156" s="414"/>
      <c r="M156" s="414"/>
      <c r="N156" s="414"/>
      <c r="O156" s="415"/>
      <c r="P156" s="415"/>
      <c r="Q156" s="414"/>
      <c r="R156" s="415"/>
      <c r="S156" s="415"/>
      <c r="T156" s="415"/>
      <c r="U156" s="415"/>
      <c r="V156" s="421"/>
    </row>
    <row r="157" spans="1:22">
      <c r="A157" s="416"/>
      <c r="B157" s="417"/>
      <c r="C157" s="418"/>
      <c r="D157" s="419"/>
      <c r="E157" s="419"/>
      <c r="F157" s="419"/>
      <c r="G157" s="419"/>
      <c r="H157" s="419"/>
      <c r="I157" s="419"/>
      <c r="J157" s="420"/>
      <c r="K157" s="420"/>
      <c r="L157" s="419"/>
      <c r="M157" s="419"/>
      <c r="N157" s="419"/>
      <c r="O157" s="420"/>
      <c r="P157" s="420"/>
      <c r="Q157" s="419"/>
      <c r="R157" s="420"/>
      <c r="S157" s="420"/>
      <c r="T157" s="420"/>
      <c r="U157" s="420"/>
      <c r="V157" s="421"/>
    </row>
    <row r="158" spans="1:22">
      <c r="A158" s="416"/>
      <c r="B158" s="422"/>
      <c r="C158" s="423"/>
      <c r="D158" s="424"/>
      <c r="E158" s="424"/>
      <c r="F158" s="424"/>
      <c r="G158" s="424"/>
      <c r="H158" s="424"/>
      <c r="I158" s="424"/>
      <c r="J158" s="426"/>
      <c r="K158" s="426"/>
      <c r="L158" s="424"/>
      <c r="M158" s="424"/>
      <c r="N158" s="424"/>
      <c r="O158" s="426"/>
      <c r="P158" s="426"/>
      <c r="Q158" s="424"/>
      <c r="R158" s="426"/>
      <c r="S158" s="426"/>
      <c r="T158" s="426"/>
      <c r="U158" s="426"/>
      <c r="V158" s="421"/>
    </row>
    <row r="159" spans="1:22">
      <c r="A159" s="416"/>
      <c r="B159" s="394"/>
      <c r="C159" s="413"/>
      <c r="D159" s="414"/>
      <c r="E159" s="414"/>
      <c r="F159" s="414"/>
      <c r="G159" s="414"/>
      <c r="H159" s="414"/>
      <c r="I159" s="414"/>
      <c r="J159" s="415"/>
      <c r="K159" s="415"/>
      <c r="L159" s="414"/>
      <c r="M159" s="414"/>
      <c r="N159" s="414"/>
      <c r="O159" s="415"/>
      <c r="P159" s="415"/>
      <c r="Q159" s="414"/>
      <c r="R159" s="415"/>
      <c r="S159" s="415"/>
      <c r="T159" s="415"/>
      <c r="U159" s="415"/>
      <c r="V159" s="421"/>
    </row>
    <row r="160" spans="1:22">
      <c r="A160" s="416"/>
      <c r="B160" s="417"/>
      <c r="C160" s="418"/>
      <c r="D160" s="419"/>
      <c r="E160" s="419"/>
      <c r="F160" s="419"/>
      <c r="G160" s="419"/>
      <c r="H160" s="419"/>
      <c r="I160" s="419"/>
      <c r="J160" s="420"/>
      <c r="K160" s="420"/>
      <c r="L160" s="419"/>
      <c r="M160" s="419"/>
      <c r="N160" s="419"/>
      <c r="O160" s="420"/>
      <c r="P160" s="420"/>
      <c r="Q160" s="419"/>
      <c r="R160" s="420"/>
      <c r="S160" s="420"/>
      <c r="T160" s="420"/>
      <c r="U160" s="420"/>
      <c r="V160" s="421"/>
    </row>
    <row r="161" spans="1:22">
      <c r="A161" s="416"/>
      <c r="B161" s="422"/>
      <c r="C161" s="423"/>
      <c r="D161" s="424"/>
      <c r="E161" s="424"/>
      <c r="F161" s="424"/>
      <c r="G161" s="424"/>
      <c r="H161" s="424"/>
      <c r="I161" s="424"/>
      <c r="J161" s="426"/>
      <c r="K161" s="426"/>
      <c r="L161" s="424"/>
      <c r="M161" s="424"/>
      <c r="N161" s="424"/>
      <c r="O161" s="426"/>
      <c r="P161" s="426"/>
      <c r="Q161" s="424"/>
      <c r="R161" s="426"/>
      <c r="S161" s="426"/>
      <c r="T161" s="426"/>
      <c r="U161" s="426"/>
      <c r="V161" s="421"/>
    </row>
    <row r="162" spans="1:22">
      <c r="A162" s="416"/>
      <c r="B162" s="394"/>
      <c r="C162" s="413"/>
      <c r="D162" s="414"/>
      <c r="E162" s="414"/>
      <c r="F162" s="414"/>
      <c r="G162" s="414"/>
      <c r="H162" s="414"/>
      <c r="I162" s="414"/>
      <c r="J162" s="415"/>
      <c r="K162" s="415"/>
      <c r="L162" s="414"/>
      <c r="M162" s="414"/>
      <c r="N162" s="414"/>
      <c r="O162" s="415"/>
      <c r="P162" s="415"/>
      <c r="Q162" s="414"/>
      <c r="R162" s="415"/>
      <c r="S162" s="415"/>
      <c r="T162" s="415"/>
      <c r="U162" s="415"/>
      <c r="V162" s="421"/>
    </row>
    <row r="163" spans="1:22">
      <c r="A163" s="416"/>
      <c r="B163" s="417"/>
      <c r="C163" s="418"/>
      <c r="D163" s="419"/>
      <c r="E163" s="419"/>
      <c r="F163" s="419"/>
      <c r="G163" s="419"/>
      <c r="H163" s="419"/>
      <c r="I163" s="419"/>
      <c r="J163" s="420"/>
      <c r="K163" s="420"/>
      <c r="L163" s="419"/>
      <c r="M163" s="419"/>
      <c r="N163" s="419"/>
      <c r="O163" s="420"/>
      <c r="P163" s="420"/>
      <c r="Q163" s="419"/>
      <c r="R163" s="420"/>
      <c r="S163" s="420"/>
      <c r="T163" s="420"/>
      <c r="U163" s="420"/>
      <c r="V163" s="421"/>
    </row>
    <row r="164" spans="1:22">
      <c r="A164" s="416"/>
      <c r="B164" s="422"/>
      <c r="C164" s="423"/>
      <c r="D164" s="424"/>
      <c r="E164" s="424"/>
      <c r="F164" s="424"/>
      <c r="G164" s="424"/>
      <c r="H164" s="424"/>
      <c r="I164" s="424"/>
      <c r="J164" s="426"/>
      <c r="K164" s="426"/>
      <c r="L164" s="424"/>
      <c r="M164" s="424"/>
      <c r="N164" s="424"/>
      <c r="O164" s="426"/>
      <c r="P164" s="426"/>
      <c r="Q164" s="424"/>
      <c r="R164" s="426"/>
      <c r="S164" s="426"/>
      <c r="T164" s="426"/>
      <c r="U164" s="426"/>
      <c r="V164" s="421"/>
    </row>
    <row r="165" spans="1:22">
      <c r="A165" s="416"/>
      <c r="B165" s="394"/>
      <c r="C165" s="413"/>
      <c r="D165" s="414"/>
      <c r="E165" s="414"/>
      <c r="F165" s="414"/>
      <c r="G165" s="414"/>
      <c r="H165" s="414"/>
      <c r="I165" s="414"/>
      <c r="J165" s="415"/>
      <c r="K165" s="415"/>
      <c r="L165" s="414"/>
      <c r="M165" s="414"/>
      <c r="N165" s="414"/>
      <c r="O165" s="415"/>
      <c r="P165" s="415"/>
      <c r="Q165" s="414"/>
      <c r="R165" s="415"/>
      <c r="S165" s="415"/>
      <c r="T165" s="415"/>
      <c r="U165" s="415"/>
      <c r="V165" s="421"/>
    </row>
    <row r="166" spans="1:22">
      <c r="A166" s="416"/>
      <c r="B166" s="417"/>
      <c r="C166" s="418"/>
      <c r="D166" s="419"/>
      <c r="E166" s="419"/>
      <c r="F166" s="419"/>
      <c r="G166" s="419"/>
      <c r="H166" s="419"/>
      <c r="I166" s="419"/>
      <c r="J166" s="420"/>
      <c r="K166" s="420"/>
      <c r="L166" s="419"/>
      <c r="M166" s="419"/>
      <c r="N166" s="419"/>
      <c r="O166" s="420"/>
      <c r="P166" s="420"/>
      <c r="Q166" s="419"/>
      <c r="R166" s="420"/>
      <c r="S166" s="420"/>
      <c r="T166" s="420"/>
      <c r="U166" s="420"/>
      <c r="V166" s="421"/>
    </row>
    <row r="167" spans="1:22" ht="15" thickBot="1">
      <c r="A167" s="416"/>
      <c r="B167" s="428"/>
      <c r="C167" s="429"/>
      <c r="D167" s="430"/>
      <c r="E167" s="430"/>
      <c r="F167" s="430"/>
      <c r="G167" s="430"/>
      <c r="H167" s="430"/>
      <c r="I167" s="430"/>
      <c r="J167" s="431"/>
      <c r="K167" s="431"/>
      <c r="L167" s="430"/>
      <c r="M167" s="430"/>
      <c r="N167" s="430"/>
      <c r="O167" s="431"/>
      <c r="P167" s="431"/>
      <c r="Q167" s="430"/>
      <c r="R167" s="431"/>
      <c r="S167" s="431"/>
      <c r="T167" s="431"/>
      <c r="U167" s="431"/>
      <c r="V167" s="421"/>
    </row>
    <row r="168" spans="1:22" ht="15" thickTop="1">
      <c r="A168" s="416"/>
      <c r="B168" s="417"/>
      <c r="C168" s="418"/>
      <c r="D168" s="419"/>
      <c r="E168" s="419"/>
      <c r="F168" s="419"/>
      <c r="G168" s="419"/>
      <c r="H168" s="419"/>
      <c r="I168" s="419"/>
      <c r="J168" s="420"/>
      <c r="K168" s="420"/>
      <c r="L168" s="419"/>
      <c r="M168" s="419"/>
      <c r="N168" s="419"/>
      <c r="O168" s="420"/>
      <c r="P168" s="420"/>
      <c r="Q168" s="419"/>
      <c r="R168" s="420"/>
      <c r="S168" s="420"/>
      <c r="T168" s="420"/>
      <c r="U168" s="420"/>
      <c r="V168" s="421"/>
    </row>
    <row r="169" spans="1:22">
      <c r="A169" s="416"/>
      <c r="B169" s="417"/>
      <c r="C169" s="418"/>
      <c r="D169" s="419"/>
      <c r="E169" s="419"/>
      <c r="F169" s="419"/>
      <c r="G169" s="419"/>
      <c r="H169" s="419"/>
      <c r="I169" s="419"/>
      <c r="J169" s="420"/>
      <c r="K169" s="420"/>
      <c r="L169" s="419"/>
      <c r="M169" s="419"/>
      <c r="N169" s="419"/>
      <c r="O169" s="420"/>
      <c r="P169" s="420"/>
      <c r="Q169" s="419"/>
      <c r="R169" s="420"/>
      <c r="S169" s="420"/>
      <c r="T169" s="420"/>
      <c r="U169" s="420"/>
      <c r="V169" s="421"/>
    </row>
    <row r="170" spans="1:22">
      <c r="A170" s="416"/>
      <c r="B170" s="422"/>
      <c r="C170" s="423"/>
      <c r="D170" s="424"/>
      <c r="E170" s="424"/>
      <c r="F170" s="424"/>
      <c r="G170" s="424"/>
      <c r="H170" s="424"/>
      <c r="I170" s="424"/>
      <c r="J170" s="426"/>
      <c r="K170" s="426"/>
      <c r="L170" s="424"/>
      <c r="M170" s="424"/>
      <c r="N170" s="424"/>
      <c r="O170" s="426"/>
      <c r="P170" s="426"/>
      <c r="Q170" s="424"/>
      <c r="R170" s="426"/>
      <c r="S170" s="426"/>
      <c r="T170" s="426"/>
      <c r="U170" s="426"/>
      <c r="V170" s="421"/>
    </row>
    <row r="171" spans="1:22">
      <c r="A171" s="416"/>
      <c r="B171" s="394"/>
      <c r="C171" s="413"/>
      <c r="D171" s="414"/>
      <c r="E171" s="414"/>
      <c r="F171" s="414"/>
      <c r="G171" s="414"/>
      <c r="H171" s="414"/>
      <c r="I171" s="414"/>
      <c r="J171" s="415"/>
      <c r="K171" s="415"/>
      <c r="L171" s="414"/>
      <c r="M171" s="414"/>
      <c r="N171" s="414"/>
      <c r="O171" s="415"/>
      <c r="P171" s="415"/>
      <c r="Q171" s="414"/>
      <c r="R171" s="415"/>
      <c r="S171" s="415"/>
      <c r="T171" s="415"/>
      <c r="U171" s="415"/>
      <c r="V171" s="421"/>
    </row>
    <row r="172" spans="1:22">
      <c r="A172" s="416"/>
      <c r="B172" s="417"/>
      <c r="C172" s="418"/>
      <c r="D172" s="419"/>
      <c r="E172" s="419"/>
      <c r="F172" s="419"/>
      <c r="G172" s="419"/>
      <c r="H172" s="419"/>
      <c r="I172" s="419"/>
      <c r="J172" s="420"/>
      <c r="K172" s="420"/>
      <c r="L172" s="419"/>
      <c r="M172" s="419"/>
      <c r="N172" s="419"/>
      <c r="O172" s="420"/>
      <c r="P172" s="420"/>
      <c r="Q172" s="419"/>
      <c r="R172" s="420"/>
      <c r="S172" s="420"/>
      <c r="T172" s="420"/>
      <c r="U172" s="420"/>
      <c r="V172" s="421"/>
    </row>
    <row r="173" spans="1:22">
      <c r="A173" s="416"/>
      <c r="B173" s="422"/>
      <c r="C173" s="423"/>
      <c r="D173" s="424"/>
      <c r="E173" s="424"/>
      <c r="F173" s="424"/>
      <c r="G173" s="424"/>
      <c r="H173" s="424"/>
      <c r="I173" s="424"/>
      <c r="J173" s="426"/>
      <c r="K173" s="426"/>
      <c r="L173" s="424"/>
      <c r="M173" s="424"/>
      <c r="N173" s="424"/>
      <c r="O173" s="426"/>
      <c r="P173" s="426"/>
      <c r="Q173" s="424"/>
      <c r="R173" s="426"/>
      <c r="S173" s="426"/>
      <c r="T173" s="426"/>
      <c r="U173" s="426"/>
      <c r="V173" s="421"/>
    </row>
    <row r="174" spans="1:22">
      <c r="A174" s="416"/>
      <c r="B174" s="394"/>
      <c r="C174" s="413"/>
      <c r="D174" s="414"/>
      <c r="E174" s="414"/>
      <c r="F174" s="414"/>
      <c r="G174" s="414"/>
      <c r="H174" s="414"/>
      <c r="I174" s="414"/>
      <c r="J174" s="415"/>
      <c r="K174" s="415"/>
      <c r="L174" s="414"/>
      <c r="M174" s="414"/>
      <c r="N174" s="414"/>
      <c r="O174" s="415"/>
      <c r="P174" s="415"/>
      <c r="Q174" s="414"/>
      <c r="R174" s="415"/>
      <c r="S174" s="415"/>
      <c r="T174" s="415"/>
      <c r="U174" s="415"/>
      <c r="V174" s="421"/>
    </row>
    <row r="175" spans="1:22">
      <c r="A175" s="416"/>
      <c r="B175" s="417"/>
      <c r="C175" s="418"/>
      <c r="D175" s="419"/>
      <c r="E175" s="419"/>
      <c r="F175" s="419"/>
      <c r="G175" s="419"/>
      <c r="H175" s="419"/>
      <c r="I175" s="419"/>
      <c r="J175" s="420"/>
      <c r="K175" s="420"/>
      <c r="L175" s="419"/>
      <c r="M175" s="419"/>
      <c r="N175" s="419"/>
      <c r="O175" s="420"/>
      <c r="P175" s="420"/>
      <c r="Q175" s="419"/>
      <c r="R175" s="420"/>
      <c r="S175" s="420"/>
      <c r="T175" s="420"/>
      <c r="U175" s="420"/>
      <c r="V175" s="421"/>
    </row>
    <row r="176" spans="1:22">
      <c r="A176" s="416"/>
      <c r="B176" s="422"/>
      <c r="C176" s="423"/>
      <c r="D176" s="424"/>
      <c r="E176" s="424"/>
      <c r="F176" s="424"/>
      <c r="G176" s="424"/>
      <c r="H176" s="424"/>
      <c r="I176" s="424"/>
      <c r="J176" s="426"/>
      <c r="K176" s="426"/>
      <c r="L176" s="424"/>
      <c r="M176" s="424"/>
      <c r="N176" s="424"/>
      <c r="O176" s="426"/>
      <c r="P176" s="426"/>
      <c r="Q176" s="424"/>
      <c r="R176" s="426"/>
      <c r="S176" s="426"/>
      <c r="T176" s="426"/>
      <c r="U176" s="426"/>
      <c r="V176" s="421"/>
    </row>
    <row r="177" spans="1:22">
      <c r="A177" s="416"/>
      <c r="B177" s="394"/>
      <c r="C177" s="413"/>
      <c r="D177" s="414"/>
      <c r="E177" s="414"/>
      <c r="F177" s="414"/>
      <c r="G177" s="414"/>
      <c r="H177" s="414"/>
      <c r="I177" s="414"/>
      <c r="J177" s="415"/>
      <c r="K177" s="415"/>
      <c r="L177" s="414"/>
      <c r="M177" s="414"/>
      <c r="N177" s="414"/>
      <c r="O177" s="415"/>
      <c r="P177" s="415"/>
      <c r="Q177" s="414"/>
      <c r="R177" s="415"/>
      <c r="S177" s="415"/>
      <c r="T177" s="415"/>
      <c r="U177" s="415"/>
      <c r="V177" s="421"/>
    </row>
    <row r="178" spans="1:22">
      <c r="A178" s="416"/>
      <c r="B178" s="417"/>
      <c r="C178" s="418"/>
      <c r="D178" s="419"/>
      <c r="E178" s="419"/>
      <c r="F178" s="419"/>
      <c r="G178" s="419"/>
      <c r="H178" s="419"/>
      <c r="I178" s="419"/>
      <c r="J178" s="420"/>
      <c r="K178" s="420"/>
      <c r="L178" s="419"/>
      <c r="M178" s="419"/>
      <c r="N178" s="419"/>
      <c r="O178" s="420"/>
      <c r="P178" s="420"/>
      <c r="Q178" s="419"/>
      <c r="R178" s="420"/>
      <c r="S178" s="420"/>
      <c r="T178" s="420"/>
      <c r="U178" s="420"/>
      <c r="V178" s="421"/>
    </row>
    <row r="179" spans="1:22">
      <c r="A179" s="416"/>
      <c r="B179" s="422"/>
      <c r="C179" s="423"/>
      <c r="D179" s="424"/>
      <c r="E179" s="424"/>
      <c r="F179" s="424"/>
      <c r="G179" s="424"/>
      <c r="H179" s="424"/>
      <c r="I179" s="424"/>
      <c r="J179" s="426"/>
      <c r="K179" s="426"/>
      <c r="L179" s="424"/>
      <c r="M179" s="424"/>
      <c r="N179" s="424"/>
      <c r="O179" s="426"/>
      <c r="P179" s="426"/>
      <c r="Q179" s="424"/>
      <c r="R179" s="426"/>
      <c r="S179" s="426"/>
      <c r="T179" s="426"/>
      <c r="U179" s="426"/>
      <c r="V179" s="421"/>
    </row>
    <row r="180" spans="1:22">
      <c r="A180" s="416"/>
      <c r="B180" s="394"/>
      <c r="C180" s="413"/>
      <c r="D180" s="414"/>
      <c r="E180" s="414"/>
      <c r="F180" s="414"/>
      <c r="G180" s="414"/>
      <c r="H180" s="414"/>
      <c r="I180" s="414"/>
      <c r="J180" s="415"/>
      <c r="K180" s="415"/>
      <c r="L180" s="414"/>
      <c r="M180" s="414"/>
      <c r="N180" s="414"/>
      <c r="O180" s="415"/>
      <c r="P180" s="415"/>
      <c r="Q180" s="414"/>
      <c r="R180" s="415"/>
      <c r="S180" s="415"/>
      <c r="T180" s="415"/>
      <c r="U180" s="415"/>
      <c r="V180" s="421"/>
    </row>
    <row r="181" spans="1:22">
      <c r="A181" s="416"/>
      <c r="B181" s="417"/>
      <c r="C181" s="418"/>
      <c r="D181" s="419"/>
      <c r="E181" s="419"/>
      <c r="F181" s="419"/>
      <c r="G181" s="419"/>
      <c r="H181" s="419"/>
      <c r="I181" s="419"/>
      <c r="J181" s="420"/>
      <c r="K181" s="420"/>
      <c r="L181" s="419"/>
      <c r="M181" s="419"/>
      <c r="N181" s="419"/>
      <c r="O181" s="420"/>
      <c r="P181" s="420"/>
      <c r="Q181" s="419"/>
      <c r="R181" s="420"/>
      <c r="S181" s="420"/>
      <c r="T181" s="420"/>
      <c r="U181" s="420"/>
      <c r="V181" s="421"/>
    </row>
    <row r="182" spans="1:22">
      <c r="A182" s="416"/>
      <c r="B182" s="422"/>
      <c r="C182" s="423"/>
      <c r="D182" s="424"/>
      <c r="E182" s="424"/>
      <c r="F182" s="424"/>
      <c r="G182" s="424"/>
      <c r="H182" s="424"/>
      <c r="I182" s="424"/>
      <c r="J182" s="426"/>
      <c r="K182" s="426"/>
      <c r="L182" s="424"/>
      <c r="M182" s="424"/>
      <c r="N182" s="424"/>
      <c r="O182" s="426"/>
      <c r="P182" s="426"/>
      <c r="Q182" s="424"/>
      <c r="R182" s="426"/>
      <c r="S182" s="426"/>
      <c r="T182" s="426"/>
      <c r="U182" s="426"/>
      <c r="V182" s="421"/>
    </row>
    <row r="183" spans="1:22">
      <c r="A183" s="416"/>
      <c r="B183" s="394"/>
      <c r="C183" s="413"/>
      <c r="D183" s="414"/>
      <c r="E183" s="414"/>
      <c r="F183" s="414"/>
      <c r="G183" s="414"/>
      <c r="H183" s="414"/>
      <c r="I183" s="414"/>
      <c r="J183" s="415"/>
      <c r="K183" s="415"/>
      <c r="L183" s="414"/>
      <c r="M183" s="414"/>
      <c r="N183" s="414"/>
      <c r="O183" s="415"/>
      <c r="P183" s="415"/>
      <c r="Q183" s="414"/>
      <c r="R183" s="415"/>
      <c r="S183" s="415"/>
      <c r="T183" s="415"/>
      <c r="U183" s="415"/>
      <c r="V183" s="421"/>
    </row>
    <row r="184" spans="1:22">
      <c r="A184" s="416"/>
      <c r="B184" s="417"/>
      <c r="C184" s="418"/>
      <c r="D184" s="419"/>
      <c r="E184" s="419"/>
      <c r="F184" s="419"/>
      <c r="G184" s="419"/>
      <c r="H184" s="419"/>
      <c r="I184" s="419"/>
      <c r="J184" s="420"/>
      <c r="K184" s="420"/>
      <c r="L184" s="419"/>
      <c r="M184" s="419"/>
      <c r="N184" s="419"/>
      <c r="O184" s="420"/>
      <c r="P184" s="420"/>
      <c r="Q184" s="419"/>
      <c r="R184" s="420"/>
      <c r="S184" s="420"/>
      <c r="T184" s="420"/>
      <c r="U184" s="420"/>
      <c r="V184" s="421"/>
    </row>
    <row r="185" spans="1:22" ht="15" thickBot="1">
      <c r="A185" s="432"/>
      <c r="B185" s="433"/>
      <c r="C185" s="434"/>
      <c r="D185" s="435"/>
      <c r="E185" s="435"/>
      <c r="F185" s="435"/>
      <c r="G185" s="435"/>
      <c r="H185" s="435"/>
      <c r="I185" s="435"/>
      <c r="J185" s="436"/>
      <c r="K185" s="436"/>
      <c r="L185" s="435"/>
      <c r="M185" s="435"/>
      <c r="N185" s="435"/>
      <c r="O185" s="436"/>
      <c r="P185" s="436"/>
      <c r="Q185" s="435"/>
      <c r="R185" s="436"/>
      <c r="S185" s="436"/>
      <c r="T185" s="436"/>
      <c r="U185" s="436"/>
      <c r="V185" s="421"/>
    </row>
    <row r="186" spans="1:22">
      <c r="A186" s="412"/>
      <c r="B186" s="394"/>
      <c r="C186" s="413"/>
      <c r="D186" s="414"/>
      <c r="E186" s="414"/>
      <c r="F186" s="414"/>
      <c r="G186" s="414"/>
      <c r="H186" s="414"/>
      <c r="I186" s="414"/>
      <c r="J186" s="415"/>
      <c r="K186" s="415"/>
      <c r="L186" s="414"/>
      <c r="M186" s="414"/>
      <c r="N186" s="414"/>
      <c r="O186" s="415"/>
      <c r="P186" s="415"/>
      <c r="Q186" s="414"/>
      <c r="R186" s="415"/>
      <c r="S186" s="415"/>
      <c r="T186" s="415"/>
      <c r="U186" s="415"/>
      <c r="V186" s="421"/>
    </row>
    <row r="187" spans="1:22">
      <c r="A187" s="416"/>
      <c r="B187" s="417"/>
      <c r="C187" s="418"/>
      <c r="D187" s="419"/>
      <c r="E187" s="419"/>
      <c r="F187" s="419"/>
      <c r="G187" s="419"/>
      <c r="H187" s="419"/>
      <c r="I187" s="419"/>
      <c r="J187" s="420"/>
      <c r="K187" s="420"/>
      <c r="L187" s="419"/>
      <c r="M187" s="419"/>
      <c r="N187" s="419"/>
      <c r="O187" s="420"/>
      <c r="P187" s="420"/>
      <c r="Q187" s="419"/>
      <c r="R187" s="420"/>
      <c r="S187" s="420"/>
      <c r="T187" s="420"/>
      <c r="U187" s="420"/>
      <c r="V187" s="421"/>
    </row>
    <row r="188" spans="1:22">
      <c r="A188" s="416"/>
      <c r="B188" s="422"/>
      <c r="C188" s="423"/>
      <c r="D188" s="424"/>
      <c r="E188" s="424"/>
      <c r="F188" s="424"/>
      <c r="G188" s="424"/>
      <c r="H188" s="424"/>
      <c r="I188" s="424"/>
      <c r="J188" s="426"/>
      <c r="K188" s="426"/>
      <c r="L188" s="424"/>
      <c r="M188" s="424"/>
      <c r="N188" s="424"/>
      <c r="O188" s="426"/>
      <c r="P188" s="426"/>
      <c r="Q188" s="424"/>
      <c r="R188" s="426"/>
      <c r="S188" s="426"/>
      <c r="T188" s="426"/>
      <c r="U188" s="426"/>
      <c r="V188" s="421"/>
    </row>
    <row r="189" spans="1:22">
      <c r="A189" s="416"/>
      <c r="B189" s="394"/>
      <c r="C189" s="413"/>
      <c r="D189" s="414"/>
      <c r="E189" s="414"/>
      <c r="F189" s="414"/>
      <c r="G189" s="414"/>
      <c r="H189" s="414"/>
      <c r="I189" s="414"/>
      <c r="J189" s="415"/>
      <c r="K189" s="415"/>
      <c r="L189" s="414"/>
      <c r="M189" s="414"/>
      <c r="N189" s="414"/>
      <c r="O189" s="415"/>
      <c r="P189" s="415"/>
      <c r="Q189" s="414"/>
      <c r="R189" s="415"/>
      <c r="S189" s="415"/>
      <c r="T189" s="415"/>
      <c r="U189" s="415"/>
      <c r="V189" s="421"/>
    </row>
    <row r="190" spans="1:22">
      <c r="A190" s="416"/>
      <c r="B190" s="417"/>
      <c r="C190" s="418"/>
      <c r="D190" s="419"/>
      <c r="E190" s="419"/>
      <c r="F190" s="419"/>
      <c r="G190" s="419"/>
      <c r="H190" s="419"/>
      <c r="I190" s="419"/>
      <c r="J190" s="420"/>
      <c r="K190" s="420"/>
      <c r="L190" s="419"/>
      <c r="M190" s="419"/>
      <c r="N190" s="419"/>
      <c r="O190" s="420"/>
      <c r="P190" s="420"/>
      <c r="Q190" s="419"/>
      <c r="R190" s="420"/>
      <c r="S190" s="420"/>
      <c r="T190" s="420"/>
      <c r="U190" s="420"/>
      <c r="V190" s="421"/>
    </row>
    <row r="191" spans="1:22">
      <c r="A191" s="416"/>
      <c r="B191" s="422"/>
      <c r="C191" s="423"/>
      <c r="D191" s="424"/>
      <c r="E191" s="424"/>
      <c r="F191" s="424"/>
      <c r="G191" s="424"/>
      <c r="H191" s="424"/>
      <c r="I191" s="424"/>
      <c r="J191" s="426"/>
      <c r="K191" s="426"/>
      <c r="L191" s="424"/>
      <c r="M191" s="424"/>
      <c r="N191" s="424"/>
      <c r="O191" s="426"/>
      <c r="P191" s="426"/>
      <c r="Q191" s="424"/>
      <c r="R191" s="426"/>
      <c r="S191" s="426"/>
      <c r="T191" s="426"/>
      <c r="U191" s="426"/>
      <c r="V191" s="421"/>
    </row>
    <row r="192" spans="1:22">
      <c r="A192" s="416"/>
      <c r="B192" s="394"/>
      <c r="C192" s="413"/>
      <c r="D192" s="414"/>
      <c r="E192" s="414"/>
      <c r="F192" s="414"/>
      <c r="G192" s="414"/>
      <c r="H192" s="414"/>
      <c r="I192" s="414"/>
      <c r="J192" s="415"/>
      <c r="K192" s="415"/>
      <c r="L192" s="414"/>
      <c r="M192" s="414"/>
      <c r="N192" s="414"/>
      <c r="O192" s="415"/>
      <c r="P192" s="415"/>
      <c r="Q192" s="414"/>
      <c r="R192" s="415"/>
      <c r="S192" s="415"/>
      <c r="T192" s="415"/>
      <c r="U192" s="415"/>
      <c r="V192" s="421"/>
    </row>
    <row r="193" spans="1:22">
      <c r="A193" s="416"/>
      <c r="B193" s="417"/>
      <c r="C193" s="418"/>
      <c r="D193" s="419"/>
      <c r="E193" s="419"/>
      <c r="F193" s="419"/>
      <c r="G193" s="419"/>
      <c r="H193" s="419"/>
      <c r="I193" s="419"/>
      <c r="J193" s="420"/>
      <c r="K193" s="420"/>
      <c r="L193" s="419"/>
      <c r="M193" s="419"/>
      <c r="N193" s="419"/>
      <c r="O193" s="420"/>
      <c r="P193" s="420"/>
      <c r="Q193" s="419"/>
      <c r="R193" s="420"/>
      <c r="S193" s="420"/>
      <c r="T193" s="420"/>
      <c r="U193" s="420"/>
      <c r="V193" s="421"/>
    </row>
    <row r="194" spans="1:22">
      <c r="A194" s="416"/>
      <c r="B194" s="422"/>
      <c r="C194" s="423"/>
      <c r="D194" s="424"/>
      <c r="E194" s="424"/>
      <c r="F194" s="424"/>
      <c r="G194" s="424"/>
      <c r="H194" s="424"/>
      <c r="I194" s="424"/>
      <c r="J194" s="426"/>
      <c r="K194" s="426"/>
      <c r="L194" s="424"/>
      <c r="M194" s="424"/>
      <c r="N194" s="424"/>
      <c r="O194" s="426"/>
      <c r="P194" s="426"/>
      <c r="Q194" s="424"/>
      <c r="R194" s="426"/>
      <c r="S194" s="426"/>
      <c r="T194" s="426"/>
      <c r="U194" s="426"/>
      <c r="V194" s="421"/>
    </row>
    <row r="195" spans="1:22">
      <c r="A195" s="416"/>
      <c r="B195" s="394"/>
      <c r="C195" s="413"/>
      <c r="D195" s="414"/>
      <c r="E195" s="414"/>
      <c r="F195" s="414"/>
      <c r="G195" s="414"/>
      <c r="H195" s="414"/>
      <c r="I195" s="414"/>
      <c r="J195" s="415"/>
      <c r="K195" s="415"/>
      <c r="L195" s="414"/>
      <c r="M195" s="414"/>
      <c r="N195" s="414"/>
      <c r="O195" s="415"/>
      <c r="P195" s="415"/>
      <c r="Q195" s="414"/>
      <c r="R195" s="415"/>
      <c r="S195" s="415"/>
      <c r="T195" s="415"/>
      <c r="U195" s="415"/>
      <c r="V195" s="421"/>
    </row>
    <row r="196" spans="1:22">
      <c r="A196" s="416"/>
      <c r="B196" s="417"/>
      <c r="C196" s="418"/>
      <c r="D196" s="419"/>
      <c r="E196" s="419"/>
      <c r="F196" s="419"/>
      <c r="G196" s="419"/>
      <c r="H196" s="419"/>
      <c r="I196" s="419"/>
      <c r="J196" s="420"/>
      <c r="K196" s="420"/>
      <c r="L196" s="419"/>
      <c r="M196" s="419"/>
      <c r="N196" s="419"/>
      <c r="O196" s="420"/>
      <c r="P196" s="420"/>
      <c r="Q196" s="419"/>
      <c r="R196" s="420"/>
      <c r="S196" s="420"/>
      <c r="T196" s="420"/>
      <c r="U196" s="420"/>
      <c r="V196" s="421"/>
    </row>
    <row r="197" spans="1:22">
      <c r="A197" s="416"/>
      <c r="B197" s="422"/>
      <c r="C197" s="423"/>
      <c r="D197" s="424"/>
      <c r="E197" s="424"/>
      <c r="F197" s="424"/>
      <c r="G197" s="424"/>
      <c r="H197" s="424"/>
      <c r="I197" s="424"/>
      <c r="J197" s="426"/>
      <c r="K197" s="426"/>
      <c r="L197" s="424"/>
      <c r="M197" s="424"/>
      <c r="N197" s="424"/>
      <c r="O197" s="426"/>
      <c r="P197" s="426"/>
      <c r="Q197" s="424"/>
      <c r="R197" s="426"/>
      <c r="S197" s="426"/>
      <c r="T197" s="426"/>
      <c r="U197" s="426"/>
      <c r="V197" s="421"/>
    </row>
    <row r="198" spans="1:22">
      <c r="A198" s="416"/>
      <c r="B198" s="394"/>
      <c r="C198" s="413"/>
      <c r="D198" s="414"/>
      <c r="E198" s="414"/>
      <c r="F198" s="414"/>
      <c r="G198" s="414"/>
      <c r="H198" s="414"/>
      <c r="I198" s="414"/>
      <c r="J198" s="415"/>
      <c r="K198" s="415"/>
      <c r="L198" s="414"/>
      <c r="M198" s="414"/>
      <c r="N198" s="414"/>
      <c r="O198" s="415"/>
      <c r="P198" s="415"/>
      <c r="Q198" s="414"/>
      <c r="R198" s="415"/>
      <c r="S198" s="415"/>
      <c r="T198" s="415"/>
      <c r="U198" s="415"/>
      <c r="V198" s="421"/>
    </row>
    <row r="199" spans="1:22">
      <c r="A199" s="416"/>
      <c r="B199" s="417"/>
      <c r="C199" s="418"/>
      <c r="D199" s="419"/>
      <c r="E199" s="419"/>
      <c r="F199" s="419"/>
      <c r="G199" s="419"/>
      <c r="H199" s="419"/>
      <c r="I199" s="419"/>
      <c r="J199" s="420"/>
      <c r="K199" s="420"/>
      <c r="L199" s="419"/>
      <c r="M199" s="419"/>
      <c r="N199" s="419"/>
      <c r="O199" s="420"/>
      <c r="P199" s="420"/>
      <c r="Q199" s="419"/>
      <c r="R199" s="420"/>
      <c r="S199" s="420"/>
      <c r="T199" s="420"/>
      <c r="U199" s="420"/>
      <c r="V199" s="421"/>
    </row>
    <row r="200" spans="1:22">
      <c r="A200" s="416"/>
      <c r="B200" s="422"/>
      <c r="C200" s="423"/>
      <c r="D200" s="424"/>
      <c r="E200" s="424"/>
      <c r="F200" s="424"/>
      <c r="G200" s="424"/>
      <c r="H200" s="424"/>
      <c r="I200" s="424"/>
      <c r="J200" s="426"/>
      <c r="K200" s="426"/>
      <c r="L200" s="424"/>
      <c r="M200" s="424"/>
      <c r="N200" s="424"/>
      <c r="O200" s="426"/>
      <c r="P200" s="426"/>
      <c r="Q200" s="424"/>
      <c r="R200" s="426"/>
      <c r="S200" s="426"/>
      <c r="T200" s="426"/>
      <c r="U200" s="426"/>
      <c r="V200" s="421"/>
    </row>
    <row r="201" spans="1:22">
      <c r="A201" s="416"/>
      <c r="B201" s="394"/>
      <c r="C201" s="413"/>
      <c r="D201" s="414"/>
      <c r="E201" s="414"/>
      <c r="F201" s="414"/>
      <c r="G201" s="414"/>
      <c r="H201" s="414"/>
      <c r="I201" s="414"/>
      <c r="J201" s="415"/>
      <c r="K201" s="415"/>
      <c r="L201" s="414"/>
      <c r="M201" s="414"/>
      <c r="N201" s="414"/>
      <c r="O201" s="415"/>
      <c r="P201" s="415"/>
      <c r="Q201" s="414"/>
      <c r="R201" s="415"/>
      <c r="S201" s="415"/>
      <c r="T201" s="415"/>
      <c r="U201" s="415"/>
      <c r="V201" s="421"/>
    </row>
    <row r="202" spans="1:22">
      <c r="A202" s="416"/>
      <c r="B202" s="417"/>
      <c r="C202" s="418"/>
      <c r="D202" s="419"/>
      <c r="E202" s="419"/>
      <c r="F202" s="419"/>
      <c r="G202" s="419"/>
      <c r="H202" s="419"/>
      <c r="I202" s="419"/>
      <c r="J202" s="420"/>
      <c r="K202" s="420"/>
      <c r="L202" s="419"/>
      <c r="M202" s="419"/>
      <c r="N202" s="419"/>
      <c r="O202" s="420"/>
      <c r="P202" s="420"/>
      <c r="Q202" s="419"/>
      <c r="R202" s="420"/>
      <c r="S202" s="420"/>
      <c r="T202" s="420"/>
      <c r="U202" s="420"/>
      <c r="V202" s="421"/>
    </row>
    <row r="203" spans="1:22" ht="15" thickBot="1">
      <c r="A203" s="416"/>
      <c r="B203" s="428"/>
      <c r="C203" s="429"/>
      <c r="D203" s="430"/>
      <c r="E203" s="430"/>
      <c r="F203" s="430"/>
      <c r="G203" s="430"/>
      <c r="H203" s="430"/>
      <c r="I203" s="430"/>
      <c r="J203" s="431"/>
      <c r="K203" s="431"/>
      <c r="L203" s="430"/>
      <c r="M203" s="430"/>
      <c r="N203" s="430"/>
      <c r="O203" s="431"/>
      <c r="P203" s="431"/>
      <c r="Q203" s="430"/>
      <c r="R203" s="431"/>
      <c r="S203" s="431"/>
      <c r="T203" s="431"/>
      <c r="U203" s="431"/>
      <c r="V203" s="421"/>
    </row>
    <row r="204" spans="1:22" ht="15" thickTop="1">
      <c r="A204" s="416"/>
      <c r="B204" s="417"/>
      <c r="C204" s="418"/>
      <c r="D204" s="419"/>
      <c r="E204" s="419"/>
      <c r="F204" s="419"/>
      <c r="G204" s="419"/>
      <c r="H204" s="419"/>
      <c r="I204" s="419"/>
      <c r="J204" s="420"/>
      <c r="K204" s="420"/>
      <c r="L204" s="419"/>
      <c r="M204" s="419"/>
      <c r="N204" s="419"/>
      <c r="O204" s="420"/>
      <c r="P204" s="420"/>
      <c r="Q204" s="419"/>
      <c r="R204" s="420"/>
      <c r="S204" s="420"/>
      <c r="T204" s="420"/>
      <c r="U204" s="420"/>
      <c r="V204" s="421"/>
    </row>
    <row r="205" spans="1:22">
      <c r="A205" s="416"/>
      <c r="B205" s="417"/>
      <c r="C205" s="418"/>
      <c r="D205" s="419"/>
      <c r="E205" s="419"/>
      <c r="F205" s="419"/>
      <c r="G205" s="419"/>
      <c r="H205" s="419"/>
      <c r="I205" s="419"/>
      <c r="J205" s="420"/>
      <c r="K205" s="420"/>
      <c r="L205" s="419"/>
      <c r="M205" s="419"/>
      <c r="N205" s="419"/>
      <c r="O205" s="420"/>
      <c r="P205" s="420"/>
      <c r="Q205" s="419"/>
      <c r="R205" s="420"/>
      <c r="S205" s="420"/>
      <c r="T205" s="420"/>
      <c r="U205" s="420"/>
      <c r="V205" s="421"/>
    </row>
    <row r="206" spans="1:22">
      <c r="A206" s="416"/>
      <c r="B206" s="422"/>
      <c r="C206" s="423"/>
      <c r="D206" s="424"/>
      <c r="E206" s="424"/>
      <c r="F206" s="424"/>
      <c r="G206" s="424"/>
      <c r="H206" s="424"/>
      <c r="I206" s="424"/>
      <c r="J206" s="426"/>
      <c r="K206" s="426"/>
      <c r="L206" s="424"/>
      <c r="M206" s="424"/>
      <c r="N206" s="424"/>
      <c r="O206" s="426"/>
      <c r="P206" s="426"/>
      <c r="Q206" s="424"/>
      <c r="R206" s="426"/>
      <c r="S206" s="426"/>
      <c r="T206" s="426"/>
      <c r="U206" s="426"/>
      <c r="V206" s="421"/>
    </row>
    <row r="207" spans="1:22">
      <c r="A207" s="416"/>
      <c r="B207" s="394"/>
      <c r="C207" s="413"/>
      <c r="D207" s="414"/>
      <c r="E207" s="414"/>
      <c r="F207" s="414"/>
      <c r="G207" s="414"/>
      <c r="H207" s="414"/>
      <c r="I207" s="414"/>
      <c r="J207" s="415"/>
      <c r="K207" s="415"/>
      <c r="L207" s="414"/>
      <c r="M207" s="414"/>
      <c r="N207" s="414"/>
      <c r="O207" s="415"/>
      <c r="P207" s="415"/>
      <c r="Q207" s="414"/>
      <c r="R207" s="415"/>
      <c r="S207" s="415"/>
      <c r="T207" s="415"/>
      <c r="U207" s="415"/>
      <c r="V207" s="421"/>
    </row>
    <row r="208" spans="1:22">
      <c r="A208" s="416"/>
      <c r="B208" s="417"/>
      <c r="C208" s="418"/>
      <c r="D208" s="419"/>
      <c r="E208" s="419"/>
      <c r="F208" s="419"/>
      <c r="G208" s="419"/>
      <c r="H208" s="419"/>
      <c r="I208" s="419"/>
      <c r="J208" s="420"/>
      <c r="K208" s="420"/>
      <c r="L208" s="419"/>
      <c r="M208" s="419"/>
      <c r="N208" s="419"/>
      <c r="O208" s="420"/>
      <c r="P208" s="420"/>
      <c r="Q208" s="419"/>
      <c r="R208" s="420"/>
      <c r="S208" s="420"/>
      <c r="T208" s="420"/>
      <c r="U208" s="420"/>
      <c r="V208" s="421"/>
    </row>
    <row r="209" spans="1:22">
      <c r="A209" s="416"/>
      <c r="B209" s="422"/>
      <c r="C209" s="423"/>
      <c r="D209" s="424"/>
      <c r="E209" s="424"/>
      <c r="F209" s="424"/>
      <c r="G209" s="424"/>
      <c r="H209" s="424"/>
      <c r="I209" s="424"/>
      <c r="J209" s="426"/>
      <c r="K209" s="426"/>
      <c r="L209" s="424"/>
      <c r="M209" s="424"/>
      <c r="N209" s="424"/>
      <c r="O209" s="426"/>
      <c r="P209" s="426"/>
      <c r="Q209" s="424"/>
      <c r="R209" s="426"/>
      <c r="S209" s="426"/>
      <c r="T209" s="426"/>
      <c r="U209" s="426"/>
      <c r="V209" s="421"/>
    </row>
    <row r="210" spans="1:22">
      <c r="A210" s="416"/>
      <c r="B210" s="394"/>
      <c r="C210" s="413"/>
      <c r="D210" s="414"/>
      <c r="E210" s="414"/>
      <c r="F210" s="414"/>
      <c r="G210" s="414"/>
      <c r="H210" s="414"/>
      <c r="I210" s="414"/>
      <c r="J210" s="415"/>
      <c r="K210" s="415"/>
      <c r="L210" s="414"/>
      <c r="M210" s="414"/>
      <c r="N210" s="414"/>
      <c r="O210" s="415"/>
      <c r="P210" s="415"/>
      <c r="Q210" s="414"/>
      <c r="R210" s="415"/>
      <c r="S210" s="415"/>
      <c r="T210" s="415"/>
      <c r="U210" s="415"/>
      <c r="V210" s="421"/>
    </row>
    <row r="211" spans="1:22">
      <c r="A211" s="416"/>
      <c r="B211" s="417"/>
      <c r="C211" s="418"/>
      <c r="D211" s="419"/>
      <c r="E211" s="419"/>
      <c r="F211" s="419"/>
      <c r="G211" s="419"/>
      <c r="H211" s="419"/>
      <c r="I211" s="419"/>
      <c r="J211" s="420"/>
      <c r="K211" s="420"/>
      <c r="L211" s="419"/>
      <c r="M211" s="419"/>
      <c r="N211" s="419"/>
      <c r="O211" s="420"/>
      <c r="P211" s="420"/>
      <c r="Q211" s="419"/>
      <c r="R211" s="420"/>
      <c r="S211" s="420"/>
      <c r="T211" s="420"/>
      <c r="U211" s="420"/>
      <c r="V211" s="421"/>
    </row>
    <row r="212" spans="1:22">
      <c r="A212" s="416"/>
      <c r="B212" s="422"/>
      <c r="C212" s="423"/>
      <c r="D212" s="424"/>
      <c r="E212" s="424"/>
      <c r="F212" s="424"/>
      <c r="G212" s="424"/>
      <c r="H212" s="424"/>
      <c r="I212" s="424"/>
      <c r="J212" s="426"/>
      <c r="K212" s="426"/>
      <c r="L212" s="424"/>
      <c r="M212" s="424"/>
      <c r="N212" s="424"/>
      <c r="O212" s="426"/>
      <c r="P212" s="426"/>
      <c r="Q212" s="424"/>
      <c r="R212" s="426"/>
      <c r="S212" s="426"/>
      <c r="T212" s="426"/>
      <c r="U212" s="426"/>
      <c r="V212" s="421"/>
    </row>
    <row r="213" spans="1:22">
      <c r="A213" s="416"/>
      <c r="B213" s="394"/>
      <c r="C213" s="413"/>
      <c r="D213" s="414"/>
      <c r="E213" s="414"/>
      <c r="F213" s="414"/>
      <c r="G213" s="414"/>
      <c r="H213" s="414"/>
      <c r="I213" s="414"/>
      <c r="J213" s="415"/>
      <c r="K213" s="415"/>
      <c r="L213" s="414"/>
      <c r="M213" s="414"/>
      <c r="N213" s="414"/>
      <c r="O213" s="415"/>
      <c r="P213" s="415"/>
      <c r="Q213" s="414"/>
      <c r="R213" s="415"/>
      <c r="S213" s="415"/>
      <c r="T213" s="415"/>
      <c r="U213" s="415"/>
      <c r="V213" s="421"/>
    </row>
    <row r="214" spans="1:22">
      <c r="A214" s="416"/>
      <c r="B214" s="417"/>
      <c r="C214" s="418"/>
      <c r="D214" s="419"/>
      <c r="E214" s="419"/>
      <c r="F214" s="419"/>
      <c r="G214" s="419"/>
      <c r="H214" s="419"/>
      <c r="I214" s="419"/>
      <c r="J214" s="420"/>
      <c r="K214" s="420"/>
      <c r="L214" s="419"/>
      <c r="M214" s="419"/>
      <c r="N214" s="419"/>
      <c r="O214" s="420"/>
      <c r="P214" s="420"/>
      <c r="Q214" s="419"/>
      <c r="R214" s="420"/>
      <c r="S214" s="420"/>
      <c r="T214" s="420"/>
      <c r="U214" s="420"/>
      <c r="V214" s="421"/>
    </row>
    <row r="215" spans="1:22">
      <c r="A215" s="416"/>
      <c r="B215" s="422"/>
      <c r="C215" s="423"/>
      <c r="D215" s="424"/>
      <c r="E215" s="424"/>
      <c r="F215" s="424"/>
      <c r="G215" s="424"/>
      <c r="H215" s="424"/>
      <c r="I215" s="424"/>
      <c r="J215" s="426"/>
      <c r="K215" s="426"/>
      <c r="L215" s="424"/>
      <c r="M215" s="424"/>
      <c r="N215" s="424"/>
      <c r="O215" s="426"/>
      <c r="P215" s="426"/>
      <c r="Q215" s="424"/>
      <c r="R215" s="426"/>
      <c r="S215" s="426"/>
      <c r="T215" s="426"/>
      <c r="U215" s="426"/>
      <c r="V215" s="421"/>
    </row>
    <row r="216" spans="1:22">
      <c r="A216" s="416"/>
      <c r="B216" s="394"/>
      <c r="C216" s="413"/>
      <c r="D216" s="414"/>
      <c r="E216" s="414"/>
      <c r="F216" s="414"/>
      <c r="G216" s="414"/>
      <c r="H216" s="414"/>
      <c r="I216" s="414"/>
      <c r="J216" s="415"/>
      <c r="K216" s="415"/>
      <c r="L216" s="414"/>
      <c r="M216" s="414"/>
      <c r="N216" s="414"/>
      <c r="O216" s="415"/>
      <c r="P216" s="415"/>
      <c r="Q216" s="414"/>
      <c r="R216" s="415"/>
      <c r="S216" s="415"/>
      <c r="T216" s="415"/>
      <c r="U216" s="415"/>
      <c r="V216" s="421"/>
    </row>
    <row r="217" spans="1:22">
      <c r="A217" s="416"/>
      <c r="B217" s="417"/>
      <c r="C217" s="418"/>
      <c r="D217" s="419"/>
      <c r="E217" s="419"/>
      <c r="F217" s="419"/>
      <c r="G217" s="419"/>
      <c r="H217" s="419"/>
      <c r="I217" s="419"/>
      <c r="J217" s="420"/>
      <c r="K217" s="420"/>
      <c r="L217" s="419"/>
      <c r="M217" s="419"/>
      <c r="N217" s="419"/>
      <c r="O217" s="420"/>
      <c r="P217" s="420"/>
      <c r="Q217" s="419"/>
      <c r="R217" s="420"/>
      <c r="S217" s="420"/>
      <c r="T217" s="420"/>
      <c r="U217" s="420"/>
      <c r="V217" s="421"/>
    </row>
    <row r="218" spans="1:22">
      <c r="A218" s="416"/>
      <c r="B218" s="422"/>
      <c r="C218" s="423"/>
      <c r="D218" s="424"/>
      <c r="E218" s="424"/>
      <c r="F218" s="424"/>
      <c r="G218" s="424"/>
      <c r="H218" s="424"/>
      <c r="I218" s="424"/>
      <c r="J218" s="426"/>
      <c r="K218" s="426"/>
      <c r="L218" s="424"/>
      <c r="M218" s="424"/>
      <c r="N218" s="424"/>
      <c r="O218" s="426"/>
      <c r="P218" s="426"/>
      <c r="Q218" s="424"/>
      <c r="R218" s="426"/>
      <c r="S218" s="426"/>
      <c r="T218" s="426"/>
      <c r="U218" s="426"/>
      <c r="V218" s="421"/>
    </row>
    <row r="219" spans="1:22">
      <c r="A219" s="416"/>
      <c r="B219" s="394"/>
      <c r="C219" s="413"/>
      <c r="D219" s="414"/>
      <c r="E219" s="414"/>
      <c r="F219" s="414"/>
      <c r="G219" s="414"/>
      <c r="H219" s="414"/>
      <c r="I219" s="414"/>
      <c r="J219" s="415"/>
      <c r="K219" s="415"/>
      <c r="L219" s="414"/>
      <c r="M219" s="414"/>
      <c r="N219" s="414"/>
      <c r="O219" s="415"/>
      <c r="P219" s="415"/>
      <c r="Q219" s="414"/>
      <c r="R219" s="415"/>
      <c r="S219" s="415"/>
      <c r="T219" s="415"/>
      <c r="U219" s="415"/>
      <c r="V219" s="421"/>
    </row>
    <row r="220" spans="1:22">
      <c r="A220" s="416"/>
      <c r="B220" s="417"/>
      <c r="C220" s="418"/>
      <c r="D220" s="419"/>
      <c r="E220" s="419"/>
      <c r="F220" s="419"/>
      <c r="G220" s="419"/>
      <c r="H220" s="419"/>
      <c r="I220" s="419"/>
      <c r="J220" s="420"/>
      <c r="K220" s="420"/>
      <c r="L220" s="419"/>
      <c r="M220" s="419"/>
      <c r="N220" s="419"/>
      <c r="O220" s="420"/>
      <c r="P220" s="420"/>
      <c r="Q220" s="419"/>
      <c r="R220" s="420"/>
      <c r="S220" s="420"/>
      <c r="T220" s="420"/>
      <c r="U220" s="420"/>
      <c r="V220" s="421"/>
    </row>
    <row r="221" spans="1:22" ht="15" thickBot="1">
      <c r="A221" s="432"/>
      <c r="B221" s="433"/>
      <c r="C221" s="434"/>
      <c r="D221" s="435"/>
      <c r="E221" s="435"/>
      <c r="F221" s="435"/>
      <c r="G221" s="435"/>
      <c r="H221" s="435"/>
      <c r="I221" s="435"/>
      <c r="J221" s="436"/>
      <c r="K221" s="436"/>
      <c r="L221" s="435"/>
      <c r="M221" s="435"/>
      <c r="N221" s="435"/>
      <c r="O221" s="436"/>
      <c r="P221" s="436"/>
      <c r="Q221" s="435"/>
      <c r="R221" s="436"/>
      <c r="S221" s="436"/>
      <c r="T221" s="436"/>
      <c r="U221" s="436"/>
      <c r="V221" s="421"/>
    </row>
    <row r="222" spans="1:22">
      <c r="A222" s="412"/>
      <c r="B222" s="394"/>
      <c r="C222" s="413"/>
      <c r="D222" s="414"/>
      <c r="E222" s="414"/>
      <c r="F222" s="414"/>
      <c r="G222" s="414"/>
      <c r="H222" s="414"/>
      <c r="I222" s="414"/>
      <c r="J222" s="415"/>
      <c r="K222" s="415"/>
      <c r="L222" s="414"/>
      <c r="M222" s="414"/>
      <c r="N222" s="414"/>
      <c r="O222" s="415"/>
      <c r="P222" s="415"/>
      <c r="Q222" s="414"/>
      <c r="R222" s="415"/>
      <c r="S222" s="415"/>
      <c r="T222" s="415"/>
      <c r="U222" s="415"/>
      <c r="V222" s="421"/>
    </row>
    <row r="223" spans="1:22">
      <c r="A223" s="416"/>
      <c r="B223" s="417"/>
      <c r="C223" s="418"/>
      <c r="D223" s="419"/>
      <c r="E223" s="419"/>
      <c r="F223" s="419"/>
      <c r="G223" s="419"/>
      <c r="H223" s="419"/>
      <c r="I223" s="419"/>
      <c r="J223" s="420"/>
      <c r="K223" s="420"/>
      <c r="L223" s="419"/>
      <c r="M223" s="419"/>
      <c r="N223" s="419"/>
      <c r="O223" s="420"/>
      <c r="P223" s="420"/>
      <c r="Q223" s="419"/>
      <c r="R223" s="420"/>
      <c r="S223" s="420"/>
      <c r="T223" s="420"/>
      <c r="U223" s="420"/>
      <c r="V223" s="421"/>
    </row>
    <row r="224" spans="1:22">
      <c r="A224" s="416"/>
      <c r="B224" s="422"/>
      <c r="C224" s="423"/>
      <c r="D224" s="424"/>
      <c r="E224" s="424"/>
      <c r="F224" s="424"/>
      <c r="G224" s="424"/>
      <c r="H224" s="424"/>
      <c r="I224" s="424"/>
      <c r="J224" s="426"/>
      <c r="K224" s="426"/>
      <c r="L224" s="424"/>
      <c r="M224" s="424"/>
      <c r="N224" s="424"/>
      <c r="O224" s="426"/>
      <c r="P224" s="426"/>
      <c r="Q224" s="424"/>
      <c r="R224" s="426"/>
      <c r="S224" s="426"/>
      <c r="T224" s="426"/>
      <c r="U224" s="426"/>
      <c r="V224" s="421"/>
    </row>
    <row r="225" spans="1:22">
      <c r="A225" s="416"/>
      <c r="B225" s="394"/>
      <c r="C225" s="413"/>
      <c r="D225" s="414"/>
      <c r="E225" s="414"/>
      <c r="F225" s="414"/>
      <c r="G225" s="414"/>
      <c r="H225" s="414"/>
      <c r="I225" s="414"/>
      <c r="J225" s="415"/>
      <c r="K225" s="415"/>
      <c r="L225" s="414"/>
      <c r="M225" s="414"/>
      <c r="N225" s="414"/>
      <c r="O225" s="415"/>
      <c r="P225" s="415"/>
      <c r="Q225" s="414"/>
      <c r="R225" s="415"/>
      <c r="S225" s="415"/>
      <c r="T225" s="415"/>
      <c r="U225" s="415"/>
      <c r="V225" s="421"/>
    </row>
    <row r="226" spans="1:22">
      <c r="A226" s="416"/>
      <c r="B226" s="417"/>
      <c r="C226" s="418"/>
      <c r="D226" s="419"/>
      <c r="E226" s="419"/>
      <c r="F226" s="419"/>
      <c r="G226" s="419"/>
      <c r="H226" s="419"/>
      <c r="I226" s="419"/>
      <c r="J226" s="420"/>
      <c r="K226" s="420"/>
      <c r="L226" s="419"/>
      <c r="M226" s="419"/>
      <c r="N226" s="419"/>
      <c r="O226" s="420"/>
      <c r="P226" s="420"/>
      <c r="Q226" s="419"/>
      <c r="R226" s="420"/>
      <c r="S226" s="420"/>
      <c r="T226" s="420"/>
      <c r="U226" s="420"/>
      <c r="V226" s="421"/>
    </row>
    <row r="227" spans="1:22">
      <c r="A227" s="416"/>
      <c r="B227" s="422"/>
      <c r="C227" s="423"/>
      <c r="D227" s="424"/>
      <c r="E227" s="424"/>
      <c r="F227" s="424"/>
      <c r="G227" s="424"/>
      <c r="H227" s="424"/>
      <c r="I227" s="424"/>
      <c r="J227" s="426"/>
      <c r="K227" s="426"/>
      <c r="L227" s="424"/>
      <c r="M227" s="424"/>
      <c r="N227" s="424"/>
      <c r="O227" s="426"/>
      <c r="P227" s="426"/>
      <c r="Q227" s="424"/>
      <c r="R227" s="426"/>
      <c r="S227" s="426"/>
      <c r="T227" s="426"/>
      <c r="U227" s="426"/>
      <c r="V227" s="421"/>
    </row>
    <row r="228" spans="1:22">
      <c r="A228" s="416"/>
      <c r="B228" s="394"/>
      <c r="C228" s="413"/>
      <c r="D228" s="414"/>
      <c r="E228" s="414"/>
      <c r="F228" s="414"/>
      <c r="G228" s="414"/>
      <c r="H228" s="414"/>
      <c r="I228" s="414"/>
      <c r="J228" s="415"/>
      <c r="K228" s="415"/>
      <c r="L228" s="414"/>
      <c r="M228" s="414"/>
      <c r="N228" s="414"/>
      <c r="O228" s="415"/>
      <c r="P228" s="415"/>
      <c r="Q228" s="414"/>
      <c r="R228" s="415"/>
      <c r="S228" s="415"/>
      <c r="T228" s="415"/>
      <c r="U228" s="415"/>
      <c r="V228" s="421"/>
    </row>
    <row r="229" spans="1:22">
      <c r="A229" s="416"/>
      <c r="B229" s="417"/>
      <c r="C229" s="418"/>
      <c r="D229" s="419"/>
      <c r="E229" s="419"/>
      <c r="F229" s="419"/>
      <c r="G229" s="419"/>
      <c r="H229" s="419"/>
      <c r="I229" s="419"/>
      <c r="J229" s="420"/>
      <c r="K229" s="420"/>
      <c r="L229" s="419"/>
      <c r="M229" s="419"/>
      <c r="N229" s="419"/>
      <c r="O229" s="420"/>
      <c r="P229" s="420"/>
      <c r="Q229" s="419"/>
      <c r="R229" s="420"/>
      <c r="S229" s="420"/>
      <c r="T229" s="420"/>
      <c r="U229" s="420"/>
      <c r="V229" s="421"/>
    </row>
    <row r="230" spans="1:22">
      <c r="A230" s="416"/>
      <c r="B230" s="422"/>
      <c r="C230" s="423"/>
      <c r="D230" s="424"/>
      <c r="E230" s="424"/>
      <c r="F230" s="424"/>
      <c r="G230" s="424"/>
      <c r="H230" s="424"/>
      <c r="I230" s="424"/>
      <c r="J230" s="426"/>
      <c r="K230" s="426"/>
      <c r="L230" s="424"/>
      <c r="M230" s="424"/>
      <c r="N230" s="424"/>
      <c r="O230" s="426"/>
      <c r="P230" s="426"/>
      <c r="Q230" s="424"/>
      <c r="R230" s="426"/>
      <c r="S230" s="426"/>
      <c r="T230" s="426"/>
      <c r="U230" s="426"/>
      <c r="V230" s="421"/>
    </row>
    <row r="231" spans="1:22">
      <c r="A231" s="416"/>
      <c r="B231" s="394"/>
      <c r="C231" s="413"/>
      <c r="D231" s="414"/>
      <c r="E231" s="414"/>
      <c r="F231" s="414"/>
      <c r="G231" s="414"/>
      <c r="H231" s="414"/>
      <c r="I231" s="414"/>
      <c r="J231" s="415"/>
      <c r="K231" s="415"/>
      <c r="L231" s="414"/>
      <c r="M231" s="414"/>
      <c r="N231" s="414"/>
      <c r="O231" s="415"/>
      <c r="P231" s="415"/>
      <c r="Q231" s="414"/>
      <c r="R231" s="415"/>
      <c r="S231" s="415"/>
      <c r="T231" s="415"/>
      <c r="U231" s="415"/>
      <c r="V231" s="421"/>
    </row>
    <row r="232" spans="1:22">
      <c r="A232" s="416"/>
      <c r="B232" s="417"/>
      <c r="C232" s="418"/>
      <c r="D232" s="419"/>
      <c r="E232" s="419"/>
      <c r="F232" s="419"/>
      <c r="G232" s="419"/>
      <c r="H232" s="419"/>
      <c r="I232" s="419"/>
      <c r="J232" s="420"/>
      <c r="K232" s="420"/>
      <c r="L232" s="419"/>
      <c r="M232" s="419"/>
      <c r="N232" s="419"/>
      <c r="O232" s="420"/>
      <c r="P232" s="420"/>
      <c r="Q232" s="419"/>
      <c r="R232" s="420"/>
      <c r="S232" s="420"/>
      <c r="T232" s="420"/>
      <c r="U232" s="420"/>
      <c r="V232" s="421"/>
    </row>
    <row r="233" spans="1:22">
      <c r="A233" s="416"/>
      <c r="B233" s="422"/>
      <c r="C233" s="423"/>
      <c r="D233" s="424"/>
      <c r="E233" s="424"/>
      <c r="F233" s="424"/>
      <c r="G233" s="424"/>
      <c r="H233" s="424"/>
      <c r="I233" s="424"/>
      <c r="J233" s="426"/>
      <c r="K233" s="426"/>
      <c r="L233" s="424"/>
      <c r="M233" s="424"/>
      <c r="N233" s="424"/>
      <c r="O233" s="426"/>
      <c r="P233" s="426"/>
      <c r="Q233" s="424"/>
      <c r="R233" s="426"/>
      <c r="S233" s="426"/>
      <c r="T233" s="426"/>
      <c r="U233" s="426"/>
      <c r="V233" s="421"/>
    </row>
    <row r="234" spans="1:22">
      <c r="A234" s="416"/>
      <c r="B234" s="394"/>
      <c r="C234" s="413"/>
      <c r="D234" s="414"/>
      <c r="E234" s="414"/>
      <c r="F234" s="414"/>
      <c r="G234" s="414"/>
      <c r="H234" s="414"/>
      <c r="I234" s="414"/>
      <c r="J234" s="415"/>
      <c r="K234" s="415"/>
      <c r="L234" s="414"/>
      <c r="M234" s="414"/>
      <c r="N234" s="414"/>
      <c r="O234" s="415"/>
      <c r="P234" s="415"/>
      <c r="Q234" s="414"/>
      <c r="R234" s="415"/>
      <c r="S234" s="415"/>
      <c r="T234" s="415"/>
      <c r="U234" s="415"/>
      <c r="V234" s="421"/>
    </row>
    <row r="235" spans="1:22">
      <c r="A235" s="416"/>
      <c r="B235" s="417"/>
      <c r="C235" s="418"/>
      <c r="D235" s="419"/>
      <c r="E235" s="419"/>
      <c r="F235" s="419"/>
      <c r="G235" s="419"/>
      <c r="H235" s="419"/>
      <c r="I235" s="419"/>
      <c r="J235" s="420"/>
      <c r="K235" s="420"/>
      <c r="L235" s="419"/>
      <c r="M235" s="419"/>
      <c r="N235" s="419"/>
      <c r="O235" s="420"/>
      <c r="P235" s="420"/>
      <c r="Q235" s="419"/>
      <c r="R235" s="420"/>
      <c r="S235" s="420"/>
      <c r="T235" s="420"/>
      <c r="U235" s="420"/>
      <c r="V235" s="421"/>
    </row>
    <row r="236" spans="1:22">
      <c r="A236" s="416"/>
      <c r="B236" s="422"/>
      <c r="C236" s="423"/>
      <c r="D236" s="424"/>
      <c r="E236" s="424"/>
      <c r="F236" s="424"/>
      <c r="G236" s="424"/>
      <c r="H236" s="424"/>
      <c r="I236" s="424"/>
      <c r="J236" s="426"/>
      <c r="K236" s="426"/>
      <c r="L236" s="424"/>
      <c r="M236" s="424"/>
      <c r="N236" s="424"/>
      <c r="O236" s="426"/>
      <c r="P236" s="426"/>
      <c r="Q236" s="424"/>
      <c r="R236" s="426"/>
      <c r="S236" s="426"/>
      <c r="T236" s="426"/>
      <c r="U236" s="426"/>
      <c r="V236" s="421"/>
    </row>
    <row r="237" spans="1:22">
      <c r="A237" s="416"/>
      <c r="B237" s="394"/>
      <c r="C237" s="413"/>
      <c r="D237" s="414"/>
      <c r="E237" s="414"/>
      <c r="F237" s="414"/>
      <c r="G237" s="414"/>
      <c r="H237" s="414"/>
      <c r="I237" s="414"/>
      <c r="J237" s="415"/>
      <c r="K237" s="415"/>
      <c r="L237" s="414"/>
      <c r="M237" s="414"/>
      <c r="N237" s="414"/>
      <c r="O237" s="415"/>
      <c r="P237" s="415"/>
      <c r="Q237" s="414"/>
      <c r="R237" s="415"/>
      <c r="S237" s="415"/>
      <c r="T237" s="415"/>
      <c r="U237" s="415"/>
      <c r="V237" s="421"/>
    </row>
    <row r="238" spans="1:22">
      <c r="A238" s="416"/>
      <c r="B238" s="417"/>
      <c r="C238" s="418"/>
      <c r="D238" s="419"/>
      <c r="E238" s="419"/>
      <c r="F238" s="419"/>
      <c r="G238" s="419"/>
      <c r="H238" s="419"/>
      <c r="I238" s="419"/>
      <c r="J238" s="420"/>
      <c r="K238" s="420"/>
      <c r="L238" s="419"/>
      <c r="M238" s="419"/>
      <c r="N238" s="419"/>
      <c r="O238" s="420"/>
      <c r="P238" s="420"/>
      <c r="Q238" s="419"/>
      <c r="R238" s="420"/>
      <c r="S238" s="420"/>
      <c r="T238" s="420"/>
      <c r="U238" s="420"/>
      <c r="V238" s="421"/>
    </row>
    <row r="239" spans="1:22" ht="15" thickBot="1">
      <c r="A239" s="416"/>
      <c r="B239" s="428"/>
      <c r="C239" s="429"/>
      <c r="D239" s="430"/>
      <c r="E239" s="430"/>
      <c r="F239" s="430"/>
      <c r="G239" s="430"/>
      <c r="H239" s="430"/>
      <c r="I239" s="430"/>
      <c r="J239" s="431"/>
      <c r="K239" s="431"/>
      <c r="L239" s="430"/>
      <c r="M239" s="430"/>
      <c r="N239" s="430"/>
      <c r="O239" s="431"/>
      <c r="P239" s="431"/>
      <c r="Q239" s="430"/>
      <c r="R239" s="431"/>
      <c r="S239" s="431"/>
      <c r="T239" s="431"/>
      <c r="U239" s="431"/>
      <c r="V239" s="421"/>
    </row>
    <row r="240" spans="1:22" ht="15" thickTop="1">
      <c r="A240" s="416"/>
      <c r="B240" s="417"/>
      <c r="C240" s="418"/>
      <c r="D240" s="419"/>
      <c r="E240" s="419"/>
      <c r="F240" s="419"/>
      <c r="G240" s="419"/>
      <c r="H240" s="419"/>
      <c r="I240" s="419"/>
      <c r="J240" s="420"/>
      <c r="K240" s="420"/>
      <c r="L240" s="419"/>
      <c r="M240" s="419"/>
      <c r="N240" s="419"/>
      <c r="O240" s="420"/>
      <c r="P240" s="420"/>
      <c r="Q240" s="419"/>
      <c r="R240" s="420"/>
      <c r="S240" s="420"/>
      <c r="T240" s="420"/>
      <c r="U240" s="420"/>
      <c r="V240" s="421"/>
    </row>
    <row r="241" spans="1:22">
      <c r="A241" s="416"/>
      <c r="B241" s="417"/>
      <c r="C241" s="418"/>
      <c r="D241" s="419"/>
      <c r="E241" s="419"/>
      <c r="F241" s="419"/>
      <c r="G241" s="419"/>
      <c r="H241" s="419"/>
      <c r="I241" s="419"/>
      <c r="J241" s="420"/>
      <c r="K241" s="420"/>
      <c r="L241" s="419"/>
      <c r="M241" s="419"/>
      <c r="N241" s="419"/>
      <c r="O241" s="420"/>
      <c r="P241" s="420"/>
      <c r="Q241" s="419"/>
      <c r="R241" s="420"/>
      <c r="S241" s="420"/>
      <c r="T241" s="420"/>
      <c r="U241" s="420"/>
      <c r="V241" s="421"/>
    </row>
    <row r="242" spans="1:22">
      <c r="A242" s="416"/>
      <c r="B242" s="422"/>
      <c r="C242" s="423"/>
      <c r="D242" s="424"/>
      <c r="E242" s="424"/>
      <c r="F242" s="424"/>
      <c r="G242" s="424"/>
      <c r="H242" s="424"/>
      <c r="I242" s="424"/>
      <c r="J242" s="426"/>
      <c r="K242" s="426"/>
      <c r="L242" s="424"/>
      <c r="M242" s="424"/>
      <c r="N242" s="424"/>
      <c r="O242" s="426"/>
      <c r="P242" s="426"/>
      <c r="Q242" s="424"/>
      <c r="R242" s="426"/>
      <c r="S242" s="426"/>
      <c r="T242" s="426"/>
      <c r="U242" s="426"/>
      <c r="V242" s="421"/>
    </row>
    <row r="243" spans="1:22">
      <c r="A243" s="416"/>
      <c r="B243" s="394"/>
      <c r="C243" s="413"/>
      <c r="D243" s="414"/>
      <c r="E243" s="414"/>
      <c r="F243" s="414"/>
      <c r="G243" s="414"/>
      <c r="H243" s="414"/>
      <c r="I243" s="414"/>
      <c r="J243" s="415"/>
      <c r="K243" s="415"/>
      <c r="L243" s="414"/>
      <c r="M243" s="414"/>
      <c r="N243" s="414"/>
      <c r="O243" s="415"/>
      <c r="P243" s="415"/>
      <c r="Q243" s="414"/>
      <c r="R243" s="415"/>
      <c r="S243" s="415"/>
      <c r="T243" s="415"/>
      <c r="U243" s="415"/>
      <c r="V243" s="421"/>
    </row>
    <row r="244" spans="1:22">
      <c r="A244" s="416"/>
      <c r="B244" s="417"/>
      <c r="C244" s="418"/>
      <c r="D244" s="419"/>
      <c r="E244" s="419"/>
      <c r="F244" s="419"/>
      <c r="G244" s="419"/>
      <c r="H244" s="419"/>
      <c r="I244" s="419"/>
      <c r="J244" s="420"/>
      <c r="K244" s="420"/>
      <c r="L244" s="419"/>
      <c r="M244" s="419"/>
      <c r="N244" s="419"/>
      <c r="O244" s="420"/>
      <c r="P244" s="420"/>
      <c r="Q244" s="419"/>
      <c r="R244" s="420"/>
      <c r="S244" s="420"/>
      <c r="T244" s="420"/>
      <c r="U244" s="420"/>
      <c r="V244" s="421"/>
    </row>
    <row r="245" spans="1:22">
      <c r="A245" s="416"/>
      <c r="B245" s="422"/>
      <c r="C245" s="423"/>
      <c r="D245" s="424"/>
      <c r="E245" s="424"/>
      <c r="F245" s="424"/>
      <c r="G245" s="424"/>
      <c r="H245" s="424"/>
      <c r="I245" s="424"/>
      <c r="J245" s="426"/>
      <c r="K245" s="426"/>
      <c r="L245" s="424"/>
      <c r="M245" s="424"/>
      <c r="N245" s="424"/>
      <c r="O245" s="426"/>
      <c r="P245" s="426"/>
      <c r="Q245" s="424"/>
      <c r="R245" s="426"/>
      <c r="S245" s="426"/>
      <c r="T245" s="426"/>
      <c r="U245" s="426"/>
      <c r="V245" s="421"/>
    </row>
    <row r="246" spans="1:22">
      <c r="A246" s="416"/>
      <c r="B246" s="394"/>
      <c r="C246" s="413"/>
      <c r="D246" s="414"/>
      <c r="E246" s="414"/>
      <c r="F246" s="414"/>
      <c r="G246" s="414"/>
      <c r="H246" s="414"/>
      <c r="I246" s="414"/>
      <c r="J246" s="415"/>
      <c r="K246" s="415"/>
      <c r="L246" s="414"/>
      <c r="M246" s="414"/>
      <c r="N246" s="414"/>
      <c r="O246" s="415"/>
      <c r="P246" s="415"/>
      <c r="Q246" s="414"/>
      <c r="R246" s="415"/>
      <c r="S246" s="415"/>
      <c r="T246" s="415"/>
      <c r="U246" s="415"/>
      <c r="V246" s="421"/>
    </row>
    <row r="247" spans="1:22">
      <c r="A247" s="416"/>
      <c r="B247" s="417"/>
      <c r="C247" s="418"/>
      <c r="D247" s="419"/>
      <c r="E247" s="419"/>
      <c r="F247" s="419"/>
      <c r="G247" s="419"/>
      <c r="H247" s="419"/>
      <c r="I247" s="419"/>
      <c r="J247" s="420"/>
      <c r="K247" s="420"/>
      <c r="L247" s="419"/>
      <c r="M247" s="419"/>
      <c r="N247" s="419"/>
      <c r="O247" s="420"/>
      <c r="P247" s="420"/>
      <c r="Q247" s="419"/>
      <c r="R247" s="420"/>
      <c r="S247" s="420"/>
      <c r="T247" s="420"/>
      <c r="U247" s="420"/>
      <c r="V247" s="421"/>
    </row>
    <row r="248" spans="1:22">
      <c r="A248" s="416"/>
      <c r="B248" s="422"/>
      <c r="C248" s="423"/>
      <c r="D248" s="424"/>
      <c r="E248" s="424"/>
      <c r="F248" s="424"/>
      <c r="G248" s="424"/>
      <c r="H248" s="424"/>
      <c r="I248" s="424"/>
      <c r="J248" s="426"/>
      <c r="K248" s="426"/>
      <c r="L248" s="424"/>
      <c r="M248" s="424"/>
      <c r="N248" s="424"/>
      <c r="O248" s="426"/>
      <c r="P248" s="426"/>
      <c r="Q248" s="424"/>
      <c r="R248" s="426"/>
      <c r="S248" s="426"/>
      <c r="T248" s="426"/>
      <c r="U248" s="426"/>
      <c r="V248" s="421"/>
    </row>
    <row r="249" spans="1:22">
      <c r="A249" s="416"/>
      <c r="B249" s="394"/>
      <c r="C249" s="413"/>
      <c r="D249" s="414"/>
      <c r="E249" s="414"/>
      <c r="F249" s="414"/>
      <c r="G249" s="414"/>
      <c r="H249" s="414"/>
      <c r="I249" s="414"/>
      <c r="J249" s="415"/>
      <c r="K249" s="415"/>
      <c r="L249" s="414"/>
      <c r="M249" s="414"/>
      <c r="N249" s="414"/>
      <c r="O249" s="415"/>
      <c r="P249" s="415"/>
      <c r="Q249" s="414"/>
      <c r="R249" s="415"/>
      <c r="S249" s="415"/>
      <c r="T249" s="415"/>
      <c r="U249" s="415"/>
      <c r="V249" s="421"/>
    </row>
    <row r="250" spans="1:22">
      <c r="A250" s="416"/>
      <c r="B250" s="417"/>
      <c r="C250" s="418"/>
      <c r="D250" s="419"/>
      <c r="E250" s="419"/>
      <c r="F250" s="419"/>
      <c r="G250" s="419"/>
      <c r="H250" s="419"/>
      <c r="I250" s="419"/>
      <c r="J250" s="420"/>
      <c r="K250" s="420"/>
      <c r="L250" s="419"/>
      <c r="M250" s="419"/>
      <c r="N250" s="419"/>
      <c r="O250" s="420"/>
      <c r="P250" s="420"/>
      <c r="Q250" s="419"/>
      <c r="R250" s="420"/>
      <c r="S250" s="420"/>
      <c r="T250" s="420"/>
      <c r="U250" s="420"/>
      <c r="V250" s="421"/>
    </row>
    <row r="251" spans="1:22">
      <c r="A251" s="416"/>
      <c r="B251" s="422"/>
      <c r="C251" s="423"/>
      <c r="D251" s="424"/>
      <c r="E251" s="424"/>
      <c r="F251" s="424"/>
      <c r="G251" s="424"/>
      <c r="H251" s="424"/>
      <c r="I251" s="424"/>
      <c r="J251" s="426"/>
      <c r="K251" s="426"/>
      <c r="L251" s="424"/>
      <c r="M251" s="424"/>
      <c r="N251" s="424"/>
      <c r="O251" s="426"/>
      <c r="P251" s="426"/>
      <c r="Q251" s="424"/>
      <c r="R251" s="426"/>
      <c r="S251" s="426"/>
      <c r="T251" s="426"/>
      <c r="U251" s="426"/>
      <c r="V251" s="421"/>
    </row>
    <row r="252" spans="1:22">
      <c r="A252" s="416"/>
      <c r="B252" s="394"/>
      <c r="C252" s="413"/>
      <c r="D252" s="414"/>
      <c r="E252" s="414"/>
      <c r="F252" s="414"/>
      <c r="G252" s="414"/>
      <c r="H252" s="414"/>
      <c r="I252" s="414"/>
      <c r="J252" s="415"/>
      <c r="K252" s="415"/>
      <c r="L252" s="414"/>
      <c r="M252" s="414"/>
      <c r="N252" s="414"/>
      <c r="O252" s="415"/>
      <c r="P252" s="415"/>
      <c r="Q252" s="414"/>
      <c r="R252" s="415"/>
      <c r="S252" s="415"/>
      <c r="T252" s="415"/>
      <c r="U252" s="415"/>
      <c r="V252" s="421"/>
    </row>
    <row r="253" spans="1:22">
      <c r="A253" s="416"/>
      <c r="B253" s="417"/>
      <c r="C253" s="418"/>
      <c r="D253" s="419"/>
      <c r="E253" s="419"/>
      <c r="F253" s="419"/>
      <c r="G253" s="419"/>
      <c r="H253" s="419"/>
      <c r="I253" s="419"/>
      <c r="J253" s="420"/>
      <c r="K253" s="420"/>
      <c r="L253" s="419"/>
      <c r="M253" s="419"/>
      <c r="N253" s="419"/>
      <c r="O253" s="420"/>
      <c r="P253" s="420"/>
      <c r="Q253" s="419"/>
      <c r="R253" s="420"/>
      <c r="S253" s="420"/>
      <c r="T253" s="420"/>
      <c r="U253" s="420"/>
      <c r="V253" s="421"/>
    </row>
    <row r="254" spans="1:22">
      <c r="A254" s="416"/>
      <c r="B254" s="422"/>
      <c r="C254" s="423"/>
      <c r="D254" s="424"/>
      <c r="E254" s="424"/>
      <c r="F254" s="424"/>
      <c r="G254" s="424"/>
      <c r="H254" s="424"/>
      <c r="I254" s="424"/>
      <c r="J254" s="426"/>
      <c r="K254" s="426"/>
      <c r="L254" s="424"/>
      <c r="M254" s="424"/>
      <c r="N254" s="424"/>
      <c r="O254" s="426"/>
      <c r="P254" s="426"/>
      <c r="Q254" s="424"/>
      <c r="R254" s="426"/>
      <c r="S254" s="426"/>
      <c r="T254" s="426"/>
      <c r="U254" s="426"/>
      <c r="V254" s="421"/>
    </row>
    <row r="255" spans="1:22">
      <c r="A255" s="416"/>
      <c r="B255" s="394"/>
      <c r="C255" s="413"/>
      <c r="D255" s="414"/>
      <c r="E255" s="414"/>
      <c r="F255" s="414"/>
      <c r="G255" s="414"/>
      <c r="H255" s="414"/>
      <c r="I255" s="414"/>
      <c r="J255" s="415"/>
      <c r="K255" s="415"/>
      <c r="L255" s="414"/>
      <c r="M255" s="414"/>
      <c r="N255" s="414"/>
      <c r="O255" s="415"/>
      <c r="P255" s="415"/>
      <c r="Q255" s="414"/>
      <c r="R255" s="415"/>
      <c r="S255" s="415"/>
      <c r="T255" s="415"/>
      <c r="U255" s="415"/>
      <c r="V255" s="421"/>
    </row>
    <row r="256" spans="1:22">
      <c r="A256" s="416"/>
      <c r="B256" s="417"/>
      <c r="C256" s="418"/>
      <c r="D256" s="419"/>
      <c r="E256" s="419"/>
      <c r="F256" s="419"/>
      <c r="G256" s="419"/>
      <c r="H256" s="419"/>
      <c r="I256" s="419"/>
      <c r="J256" s="420"/>
      <c r="K256" s="420"/>
      <c r="L256" s="419"/>
      <c r="M256" s="419"/>
      <c r="N256" s="419"/>
      <c r="O256" s="420"/>
      <c r="P256" s="420"/>
      <c r="Q256" s="419"/>
      <c r="R256" s="420"/>
      <c r="S256" s="420"/>
      <c r="T256" s="420"/>
      <c r="U256" s="420"/>
      <c r="V256" s="421"/>
    </row>
    <row r="257" spans="1:22" ht="15" thickBot="1">
      <c r="A257" s="432"/>
      <c r="B257" s="433"/>
      <c r="C257" s="434"/>
      <c r="D257" s="435"/>
      <c r="E257" s="435"/>
      <c r="F257" s="435"/>
      <c r="G257" s="435"/>
      <c r="H257" s="435"/>
      <c r="I257" s="435"/>
      <c r="J257" s="436"/>
      <c r="K257" s="436"/>
      <c r="L257" s="435"/>
      <c r="M257" s="435"/>
      <c r="N257" s="435"/>
      <c r="O257" s="436"/>
      <c r="P257" s="436"/>
      <c r="Q257" s="435"/>
      <c r="R257" s="436"/>
      <c r="S257" s="436"/>
      <c r="T257" s="436"/>
      <c r="U257" s="436"/>
      <c r="V257" s="421"/>
    </row>
    <row r="258" spans="1:22">
      <c r="A258" s="412"/>
      <c r="B258" s="394"/>
      <c r="C258" s="413"/>
      <c r="D258" s="414"/>
      <c r="E258" s="414"/>
      <c r="F258" s="414"/>
      <c r="G258" s="414"/>
      <c r="H258" s="414"/>
      <c r="I258" s="414"/>
      <c r="J258" s="415"/>
      <c r="K258" s="415"/>
      <c r="L258" s="414"/>
      <c r="M258" s="414"/>
      <c r="N258" s="414"/>
      <c r="O258" s="415"/>
      <c r="P258" s="415"/>
      <c r="Q258" s="414"/>
      <c r="R258" s="415"/>
      <c r="S258" s="415"/>
      <c r="T258" s="415"/>
      <c r="U258" s="415"/>
      <c r="V258" s="421"/>
    </row>
    <row r="259" spans="1:22">
      <c r="A259" s="416"/>
      <c r="B259" s="417"/>
      <c r="C259" s="418"/>
      <c r="D259" s="419"/>
      <c r="E259" s="419"/>
      <c r="F259" s="419"/>
      <c r="G259" s="419"/>
      <c r="H259" s="419"/>
      <c r="I259" s="419"/>
      <c r="J259" s="420"/>
      <c r="K259" s="420"/>
      <c r="L259" s="419"/>
      <c r="M259" s="419"/>
      <c r="N259" s="419"/>
      <c r="O259" s="420"/>
      <c r="P259" s="420"/>
      <c r="Q259" s="419"/>
      <c r="R259" s="420"/>
      <c r="S259" s="420"/>
      <c r="T259" s="420"/>
      <c r="U259" s="420"/>
      <c r="V259" s="421"/>
    </row>
    <row r="260" spans="1:22" s="439" customFormat="1">
      <c r="A260" s="416"/>
      <c r="B260" s="422"/>
      <c r="C260" s="423"/>
      <c r="D260" s="424"/>
      <c r="E260" s="424"/>
      <c r="F260" s="424"/>
      <c r="G260" s="424"/>
      <c r="H260" s="424"/>
      <c r="I260" s="424"/>
      <c r="J260" s="426"/>
      <c r="K260" s="426"/>
      <c r="L260" s="424"/>
      <c r="M260" s="424"/>
      <c r="N260" s="424"/>
      <c r="O260" s="426"/>
      <c r="P260" s="426"/>
      <c r="Q260" s="424"/>
      <c r="R260" s="426"/>
      <c r="S260" s="426"/>
      <c r="T260" s="426"/>
      <c r="U260" s="426"/>
      <c r="V260" s="421"/>
    </row>
    <row r="261" spans="1:22">
      <c r="A261" s="416"/>
      <c r="B261" s="394"/>
      <c r="C261" s="413"/>
      <c r="D261" s="414"/>
      <c r="E261" s="414"/>
      <c r="F261" s="414"/>
      <c r="G261" s="414"/>
      <c r="H261" s="414"/>
      <c r="I261" s="414"/>
      <c r="J261" s="415"/>
      <c r="K261" s="415"/>
      <c r="L261" s="414"/>
      <c r="M261" s="414"/>
      <c r="N261" s="414"/>
      <c r="O261" s="415"/>
      <c r="P261" s="415"/>
      <c r="Q261" s="414"/>
      <c r="R261" s="415"/>
      <c r="S261" s="415"/>
      <c r="T261" s="415"/>
      <c r="U261" s="415"/>
      <c r="V261" s="421"/>
    </row>
    <row r="262" spans="1:22">
      <c r="A262" s="416"/>
      <c r="B262" s="417"/>
      <c r="C262" s="418"/>
      <c r="D262" s="419"/>
      <c r="E262" s="419"/>
      <c r="F262" s="419"/>
      <c r="G262" s="419"/>
      <c r="H262" s="419"/>
      <c r="I262" s="419"/>
      <c r="J262" s="420"/>
      <c r="K262" s="420"/>
      <c r="L262" s="419"/>
      <c r="M262" s="419"/>
      <c r="N262" s="419"/>
      <c r="O262" s="420"/>
      <c r="P262" s="420"/>
      <c r="Q262" s="419"/>
      <c r="R262" s="420"/>
      <c r="S262" s="420"/>
      <c r="T262" s="420"/>
      <c r="U262" s="420"/>
      <c r="V262" s="421"/>
    </row>
    <row r="263" spans="1:22" s="439" customFormat="1">
      <c r="A263" s="416"/>
      <c r="B263" s="422"/>
      <c r="C263" s="423"/>
      <c r="D263" s="424"/>
      <c r="E263" s="424"/>
      <c r="F263" s="424"/>
      <c r="G263" s="424"/>
      <c r="H263" s="424"/>
      <c r="I263" s="424"/>
      <c r="J263" s="426"/>
      <c r="K263" s="426"/>
      <c r="L263" s="424"/>
      <c r="M263" s="424"/>
      <c r="N263" s="424"/>
      <c r="O263" s="426"/>
      <c r="P263" s="426"/>
      <c r="Q263" s="424"/>
      <c r="R263" s="426"/>
      <c r="S263" s="426"/>
      <c r="T263" s="426"/>
      <c r="U263" s="426"/>
      <c r="V263" s="421"/>
    </row>
    <row r="264" spans="1:22">
      <c r="A264" s="416"/>
      <c r="B264" s="394"/>
      <c r="C264" s="413"/>
      <c r="D264" s="414"/>
      <c r="E264" s="414"/>
      <c r="F264" s="414"/>
      <c r="G264" s="414"/>
      <c r="H264" s="414"/>
      <c r="I264" s="414"/>
      <c r="J264" s="415"/>
      <c r="K264" s="415"/>
      <c r="L264" s="414"/>
      <c r="M264" s="414"/>
      <c r="N264" s="414"/>
      <c r="O264" s="415"/>
      <c r="P264" s="415"/>
      <c r="Q264" s="414"/>
      <c r="R264" s="415"/>
      <c r="S264" s="415"/>
      <c r="T264" s="415"/>
      <c r="U264" s="415"/>
      <c r="V264" s="421"/>
    </row>
    <row r="265" spans="1:22">
      <c r="A265" s="416"/>
      <c r="B265" s="417"/>
      <c r="C265" s="418"/>
      <c r="D265" s="419"/>
      <c r="E265" s="419"/>
      <c r="F265" s="419"/>
      <c r="G265" s="419"/>
      <c r="H265" s="419"/>
      <c r="I265" s="419"/>
      <c r="J265" s="420"/>
      <c r="K265" s="420"/>
      <c r="L265" s="419"/>
      <c r="M265" s="419"/>
      <c r="N265" s="419"/>
      <c r="O265" s="420"/>
      <c r="P265" s="420"/>
      <c r="Q265" s="419"/>
      <c r="R265" s="420"/>
      <c r="S265" s="420"/>
      <c r="T265" s="420"/>
      <c r="U265" s="420"/>
      <c r="V265" s="421"/>
    </row>
    <row r="266" spans="1:22" s="439" customFormat="1">
      <c r="A266" s="416"/>
      <c r="B266" s="422"/>
      <c r="C266" s="423"/>
      <c r="D266" s="424"/>
      <c r="E266" s="424"/>
      <c r="F266" s="424"/>
      <c r="G266" s="424"/>
      <c r="H266" s="424"/>
      <c r="I266" s="424"/>
      <c r="J266" s="426"/>
      <c r="K266" s="426"/>
      <c r="L266" s="424"/>
      <c r="M266" s="424"/>
      <c r="N266" s="424"/>
      <c r="O266" s="426"/>
      <c r="P266" s="426"/>
      <c r="Q266" s="424"/>
      <c r="R266" s="426"/>
      <c r="S266" s="426"/>
      <c r="T266" s="426"/>
      <c r="U266" s="426"/>
      <c r="V266" s="421"/>
    </row>
    <row r="267" spans="1:22">
      <c r="A267" s="416"/>
      <c r="B267" s="394"/>
      <c r="C267" s="413"/>
      <c r="D267" s="414"/>
      <c r="E267" s="414"/>
      <c r="F267" s="414"/>
      <c r="G267" s="414"/>
      <c r="H267" s="414"/>
      <c r="I267" s="414"/>
      <c r="J267" s="415"/>
      <c r="K267" s="415"/>
      <c r="L267" s="414"/>
      <c r="M267" s="414"/>
      <c r="N267" s="414"/>
      <c r="O267" s="415"/>
      <c r="P267" s="415"/>
      <c r="Q267" s="414"/>
      <c r="R267" s="415"/>
      <c r="S267" s="415"/>
      <c r="T267" s="415"/>
      <c r="U267" s="415"/>
      <c r="V267" s="421"/>
    </row>
    <row r="268" spans="1:22">
      <c r="A268" s="416"/>
      <c r="B268" s="417"/>
      <c r="C268" s="418"/>
      <c r="D268" s="419"/>
      <c r="E268" s="419"/>
      <c r="F268" s="419"/>
      <c r="G268" s="419"/>
      <c r="H268" s="419"/>
      <c r="I268" s="419"/>
      <c r="J268" s="420"/>
      <c r="K268" s="420"/>
      <c r="L268" s="419"/>
      <c r="M268" s="419"/>
      <c r="N268" s="419"/>
      <c r="O268" s="420"/>
      <c r="P268" s="420"/>
      <c r="Q268" s="419"/>
      <c r="R268" s="420"/>
      <c r="S268" s="420"/>
      <c r="T268" s="420"/>
      <c r="U268" s="420"/>
      <c r="V268" s="421"/>
    </row>
    <row r="269" spans="1:22" s="439" customFormat="1">
      <c r="A269" s="416"/>
      <c r="B269" s="422"/>
      <c r="C269" s="423"/>
      <c r="D269" s="424"/>
      <c r="E269" s="424"/>
      <c r="F269" s="424"/>
      <c r="G269" s="424"/>
      <c r="H269" s="424"/>
      <c r="I269" s="424"/>
      <c r="J269" s="426"/>
      <c r="K269" s="426"/>
      <c r="L269" s="424"/>
      <c r="M269" s="424"/>
      <c r="N269" s="424"/>
      <c r="O269" s="426"/>
      <c r="P269" s="426"/>
      <c r="Q269" s="424"/>
      <c r="R269" s="426"/>
      <c r="S269" s="426"/>
      <c r="T269" s="426"/>
      <c r="U269" s="426"/>
      <c r="V269" s="421"/>
    </row>
    <row r="270" spans="1:22">
      <c r="A270" s="416"/>
      <c r="B270" s="394"/>
      <c r="C270" s="413"/>
      <c r="D270" s="414"/>
      <c r="E270" s="414"/>
      <c r="F270" s="414"/>
      <c r="G270" s="414"/>
      <c r="H270" s="414"/>
      <c r="I270" s="414"/>
      <c r="J270" s="415"/>
      <c r="K270" s="415"/>
      <c r="L270" s="414"/>
      <c r="M270" s="414"/>
      <c r="N270" s="414"/>
      <c r="O270" s="415"/>
      <c r="P270" s="415"/>
      <c r="Q270" s="414"/>
      <c r="R270" s="415"/>
      <c r="S270" s="415"/>
      <c r="T270" s="415"/>
      <c r="U270" s="415"/>
      <c r="V270" s="421"/>
    </row>
    <row r="271" spans="1:22">
      <c r="A271" s="416"/>
      <c r="B271" s="417"/>
      <c r="C271" s="418"/>
      <c r="D271" s="419"/>
      <c r="E271" s="419"/>
      <c r="F271" s="419"/>
      <c r="G271" s="419"/>
      <c r="H271" s="419"/>
      <c r="I271" s="419"/>
      <c r="J271" s="420"/>
      <c r="K271" s="420"/>
      <c r="L271" s="419"/>
      <c r="M271" s="419"/>
      <c r="N271" s="419"/>
      <c r="O271" s="420"/>
      <c r="P271" s="420"/>
      <c r="Q271" s="419"/>
      <c r="R271" s="420"/>
      <c r="S271" s="420"/>
      <c r="T271" s="420"/>
      <c r="U271" s="420"/>
      <c r="V271" s="421"/>
    </row>
    <row r="272" spans="1:22" s="439" customFormat="1">
      <c r="A272" s="416"/>
      <c r="B272" s="422"/>
      <c r="C272" s="423"/>
      <c r="D272" s="424"/>
      <c r="E272" s="424"/>
      <c r="F272" s="424"/>
      <c r="G272" s="424"/>
      <c r="H272" s="424"/>
      <c r="I272" s="424"/>
      <c r="J272" s="426"/>
      <c r="K272" s="426"/>
      <c r="L272" s="424"/>
      <c r="M272" s="424"/>
      <c r="N272" s="424"/>
      <c r="O272" s="426"/>
      <c r="P272" s="426"/>
      <c r="Q272" s="424"/>
      <c r="R272" s="426"/>
      <c r="S272" s="426"/>
      <c r="T272" s="426"/>
      <c r="U272" s="426"/>
      <c r="V272" s="421"/>
    </row>
    <row r="273" spans="1:22">
      <c r="A273" s="416"/>
      <c r="B273" s="394"/>
      <c r="C273" s="413"/>
      <c r="D273" s="414"/>
      <c r="E273" s="414"/>
      <c r="F273" s="414"/>
      <c r="G273" s="414"/>
      <c r="H273" s="414"/>
      <c r="I273" s="414"/>
      <c r="J273" s="415"/>
      <c r="K273" s="415"/>
      <c r="L273" s="414"/>
      <c r="M273" s="414"/>
      <c r="N273" s="414"/>
      <c r="O273" s="415"/>
      <c r="P273" s="415"/>
      <c r="Q273" s="414"/>
      <c r="R273" s="415"/>
      <c r="S273" s="415"/>
      <c r="T273" s="415"/>
      <c r="U273" s="415"/>
      <c r="V273" s="421"/>
    </row>
    <row r="274" spans="1:22">
      <c r="A274" s="416"/>
      <c r="B274" s="417"/>
      <c r="C274" s="418"/>
      <c r="D274" s="419"/>
      <c r="E274" s="419"/>
      <c r="F274" s="419"/>
      <c r="G274" s="419"/>
      <c r="H274" s="419"/>
      <c r="I274" s="419"/>
      <c r="J274" s="420"/>
      <c r="K274" s="420"/>
      <c r="L274" s="419"/>
      <c r="M274" s="419"/>
      <c r="N274" s="419"/>
      <c r="O274" s="420"/>
      <c r="P274" s="420"/>
      <c r="Q274" s="419"/>
      <c r="R274" s="420"/>
      <c r="S274" s="420"/>
      <c r="T274" s="420"/>
      <c r="U274" s="420"/>
      <c r="V274" s="421"/>
    </row>
    <row r="275" spans="1:22" s="439" customFormat="1" ht="15" thickBot="1">
      <c r="A275" s="416"/>
      <c r="B275" s="428"/>
      <c r="C275" s="429"/>
      <c r="D275" s="430"/>
      <c r="E275" s="430"/>
      <c r="F275" s="430"/>
      <c r="G275" s="430"/>
      <c r="H275" s="430"/>
      <c r="I275" s="430"/>
      <c r="J275" s="431"/>
      <c r="K275" s="431"/>
      <c r="L275" s="430"/>
      <c r="M275" s="430"/>
      <c r="N275" s="430"/>
      <c r="O275" s="431"/>
      <c r="P275" s="431"/>
      <c r="Q275" s="430"/>
      <c r="R275" s="431"/>
      <c r="S275" s="431"/>
      <c r="T275" s="431"/>
      <c r="U275" s="431"/>
      <c r="V275" s="421"/>
    </row>
    <row r="276" spans="1:22" ht="15" thickTop="1">
      <c r="A276" s="416"/>
      <c r="B276" s="417"/>
      <c r="C276" s="418"/>
      <c r="D276" s="419"/>
      <c r="E276" s="419"/>
      <c r="F276" s="419"/>
      <c r="G276" s="419"/>
      <c r="H276" s="419"/>
      <c r="I276" s="419"/>
      <c r="J276" s="420"/>
      <c r="K276" s="420"/>
      <c r="L276" s="419"/>
      <c r="M276" s="419"/>
      <c r="N276" s="419"/>
      <c r="O276" s="420"/>
      <c r="P276" s="420"/>
      <c r="Q276" s="419"/>
      <c r="R276" s="420"/>
      <c r="S276" s="420"/>
      <c r="T276" s="420"/>
      <c r="U276" s="420"/>
      <c r="V276" s="421"/>
    </row>
    <row r="277" spans="1:22">
      <c r="A277" s="416"/>
      <c r="B277" s="417"/>
      <c r="C277" s="418"/>
      <c r="D277" s="419"/>
      <c r="E277" s="419"/>
      <c r="F277" s="419"/>
      <c r="G277" s="419"/>
      <c r="H277" s="419"/>
      <c r="I277" s="419"/>
      <c r="J277" s="420"/>
      <c r="K277" s="420"/>
      <c r="L277" s="419"/>
      <c r="M277" s="419"/>
      <c r="N277" s="419"/>
      <c r="O277" s="420"/>
      <c r="P277" s="420"/>
      <c r="Q277" s="419"/>
      <c r="R277" s="420"/>
      <c r="S277" s="420"/>
      <c r="T277" s="420"/>
      <c r="U277" s="420"/>
      <c r="V277" s="421"/>
    </row>
    <row r="278" spans="1:22" s="439" customFormat="1">
      <c r="A278" s="416"/>
      <c r="B278" s="422"/>
      <c r="C278" s="423"/>
      <c r="D278" s="424"/>
      <c r="E278" s="424"/>
      <c r="F278" s="424"/>
      <c r="G278" s="424"/>
      <c r="H278" s="424"/>
      <c r="I278" s="424"/>
      <c r="J278" s="426"/>
      <c r="K278" s="426"/>
      <c r="L278" s="424"/>
      <c r="M278" s="424"/>
      <c r="N278" s="424"/>
      <c r="O278" s="426"/>
      <c r="P278" s="426"/>
      <c r="Q278" s="424"/>
      <c r="R278" s="426"/>
      <c r="S278" s="426"/>
      <c r="T278" s="426"/>
      <c r="U278" s="426"/>
      <c r="V278" s="421"/>
    </row>
    <row r="279" spans="1:22">
      <c r="A279" s="416"/>
      <c r="B279" s="394"/>
      <c r="C279" s="413"/>
      <c r="D279" s="414"/>
      <c r="E279" s="414"/>
      <c r="F279" s="414"/>
      <c r="G279" s="414"/>
      <c r="H279" s="414"/>
      <c r="I279" s="414"/>
      <c r="J279" s="415"/>
      <c r="K279" s="415"/>
      <c r="L279" s="414"/>
      <c r="M279" s="414"/>
      <c r="N279" s="414"/>
      <c r="O279" s="415"/>
      <c r="P279" s="415"/>
      <c r="Q279" s="414"/>
      <c r="R279" s="415"/>
      <c r="S279" s="415"/>
      <c r="T279" s="415"/>
      <c r="U279" s="415"/>
      <c r="V279" s="421"/>
    </row>
    <row r="280" spans="1:22">
      <c r="A280" s="416"/>
      <c r="B280" s="417"/>
      <c r="C280" s="418"/>
      <c r="D280" s="419"/>
      <c r="E280" s="419"/>
      <c r="F280" s="419"/>
      <c r="G280" s="419"/>
      <c r="H280" s="419"/>
      <c r="I280" s="419"/>
      <c r="J280" s="420"/>
      <c r="K280" s="420"/>
      <c r="L280" s="419"/>
      <c r="M280" s="419"/>
      <c r="N280" s="419"/>
      <c r="O280" s="420"/>
      <c r="P280" s="420"/>
      <c r="Q280" s="419"/>
      <c r="R280" s="420"/>
      <c r="S280" s="420"/>
      <c r="T280" s="420"/>
      <c r="U280" s="420"/>
      <c r="V280" s="421"/>
    </row>
    <row r="281" spans="1:22" s="439" customFormat="1">
      <c r="A281" s="416"/>
      <c r="B281" s="422"/>
      <c r="C281" s="423"/>
      <c r="D281" s="424"/>
      <c r="E281" s="424"/>
      <c r="F281" s="424"/>
      <c r="G281" s="424"/>
      <c r="H281" s="424"/>
      <c r="I281" s="424"/>
      <c r="J281" s="426"/>
      <c r="K281" s="426"/>
      <c r="L281" s="424"/>
      <c r="M281" s="424"/>
      <c r="N281" s="424"/>
      <c r="O281" s="426"/>
      <c r="P281" s="426"/>
      <c r="Q281" s="424"/>
      <c r="R281" s="426"/>
      <c r="S281" s="426"/>
      <c r="T281" s="426"/>
      <c r="U281" s="426"/>
      <c r="V281" s="421"/>
    </row>
    <row r="282" spans="1:22">
      <c r="A282" s="416"/>
      <c r="B282" s="394"/>
      <c r="C282" s="413"/>
      <c r="D282" s="414"/>
      <c r="E282" s="414"/>
      <c r="F282" s="414"/>
      <c r="G282" s="414"/>
      <c r="H282" s="414"/>
      <c r="I282" s="414"/>
      <c r="J282" s="415"/>
      <c r="K282" s="415"/>
      <c r="L282" s="414"/>
      <c r="M282" s="414"/>
      <c r="N282" s="414"/>
      <c r="O282" s="415"/>
      <c r="P282" s="415"/>
      <c r="Q282" s="414"/>
      <c r="R282" s="415"/>
      <c r="S282" s="415"/>
      <c r="T282" s="415"/>
      <c r="U282" s="415"/>
      <c r="V282" s="421"/>
    </row>
    <row r="283" spans="1:22">
      <c r="A283" s="416"/>
      <c r="B283" s="417"/>
      <c r="C283" s="418"/>
      <c r="D283" s="419"/>
      <c r="E283" s="419"/>
      <c r="F283" s="419"/>
      <c r="G283" s="419"/>
      <c r="H283" s="419"/>
      <c r="I283" s="419"/>
      <c r="J283" s="420"/>
      <c r="K283" s="420"/>
      <c r="L283" s="419"/>
      <c r="M283" s="419"/>
      <c r="N283" s="419"/>
      <c r="O283" s="420"/>
      <c r="P283" s="420"/>
      <c r="Q283" s="419"/>
      <c r="R283" s="420"/>
      <c r="S283" s="420"/>
      <c r="T283" s="420"/>
      <c r="U283" s="420"/>
      <c r="V283" s="421"/>
    </row>
    <row r="284" spans="1:22" s="439" customFormat="1">
      <c r="A284" s="416"/>
      <c r="B284" s="422"/>
      <c r="C284" s="423"/>
      <c r="D284" s="424"/>
      <c r="E284" s="424"/>
      <c r="F284" s="424"/>
      <c r="G284" s="424"/>
      <c r="H284" s="424"/>
      <c r="I284" s="424"/>
      <c r="J284" s="426"/>
      <c r="K284" s="426"/>
      <c r="L284" s="424"/>
      <c r="M284" s="424"/>
      <c r="N284" s="424"/>
      <c r="O284" s="426"/>
      <c r="P284" s="426"/>
      <c r="Q284" s="424"/>
      <c r="R284" s="426"/>
      <c r="S284" s="426"/>
      <c r="T284" s="426"/>
      <c r="U284" s="426"/>
      <c r="V284" s="421"/>
    </row>
    <row r="285" spans="1:22">
      <c r="A285" s="416"/>
      <c r="B285" s="394"/>
      <c r="C285" s="413"/>
      <c r="D285" s="414"/>
      <c r="E285" s="414"/>
      <c r="F285" s="414"/>
      <c r="G285" s="414"/>
      <c r="H285" s="414"/>
      <c r="I285" s="414"/>
      <c r="J285" s="415"/>
      <c r="K285" s="415"/>
      <c r="L285" s="414"/>
      <c r="M285" s="414"/>
      <c r="N285" s="414"/>
      <c r="O285" s="415"/>
      <c r="P285" s="415"/>
      <c r="Q285" s="414"/>
      <c r="R285" s="415"/>
      <c r="S285" s="415"/>
      <c r="T285" s="415"/>
      <c r="U285" s="415"/>
      <c r="V285" s="421"/>
    </row>
    <row r="286" spans="1:22">
      <c r="A286" s="416"/>
      <c r="B286" s="417"/>
      <c r="C286" s="418"/>
      <c r="D286" s="419"/>
      <c r="E286" s="419"/>
      <c r="F286" s="419"/>
      <c r="G286" s="419"/>
      <c r="H286" s="419"/>
      <c r="I286" s="419"/>
      <c r="J286" s="420"/>
      <c r="K286" s="420"/>
      <c r="L286" s="419"/>
      <c r="M286" s="419"/>
      <c r="N286" s="419"/>
      <c r="O286" s="420"/>
      <c r="P286" s="420"/>
      <c r="Q286" s="419"/>
      <c r="R286" s="420"/>
      <c r="S286" s="420"/>
      <c r="T286" s="420"/>
      <c r="U286" s="420"/>
      <c r="V286" s="421"/>
    </row>
    <row r="287" spans="1:22" s="439" customFormat="1">
      <c r="A287" s="416"/>
      <c r="B287" s="422"/>
      <c r="C287" s="423"/>
      <c r="D287" s="424"/>
      <c r="E287" s="424"/>
      <c r="F287" s="424"/>
      <c r="G287" s="424"/>
      <c r="H287" s="424"/>
      <c r="I287" s="424"/>
      <c r="J287" s="426"/>
      <c r="K287" s="426"/>
      <c r="L287" s="424"/>
      <c r="M287" s="424"/>
      <c r="N287" s="424"/>
      <c r="O287" s="426"/>
      <c r="P287" s="426"/>
      <c r="Q287" s="424"/>
      <c r="R287" s="426"/>
      <c r="S287" s="426"/>
      <c r="T287" s="426"/>
      <c r="U287" s="426"/>
      <c r="V287" s="421"/>
    </row>
    <row r="288" spans="1:22">
      <c r="A288" s="416"/>
      <c r="B288" s="394"/>
      <c r="C288" s="413"/>
      <c r="D288" s="414"/>
      <c r="E288" s="414"/>
      <c r="F288" s="414"/>
      <c r="G288" s="414"/>
      <c r="H288" s="414"/>
      <c r="I288" s="414"/>
      <c r="J288" s="415"/>
      <c r="K288" s="415"/>
      <c r="L288" s="414"/>
      <c r="M288" s="414"/>
      <c r="N288" s="414"/>
      <c r="O288" s="415"/>
      <c r="P288" s="415"/>
      <c r="Q288" s="414"/>
      <c r="R288" s="415"/>
      <c r="S288" s="415"/>
      <c r="T288" s="415"/>
      <c r="U288" s="415"/>
      <c r="V288" s="421"/>
    </row>
    <row r="289" spans="1:22">
      <c r="A289" s="416"/>
      <c r="B289" s="417"/>
      <c r="C289" s="418"/>
      <c r="D289" s="419"/>
      <c r="E289" s="419"/>
      <c r="F289" s="419"/>
      <c r="G289" s="419"/>
      <c r="H289" s="419"/>
      <c r="I289" s="419"/>
      <c r="J289" s="420"/>
      <c r="K289" s="420"/>
      <c r="L289" s="419"/>
      <c r="M289" s="419"/>
      <c r="N289" s="419"/>
      <c r="O289" s="420"/>
      <c r="P289" s="420"/>
      <c r="Q289" s="419"/>
      <c r="R289" s="420"/>
      <c r="S289" s="420"/>
      <c r="T289" s="420"/>
      <c r="U289" s="420"/>
      <c r="V289" s="421"/>
    </row>
    <row r="290" spans="1:22" s="439" customFormat="1">
      <c r="A290" s="416"/>
      <c r="B290" s="422"/>
      <c r="C290" s="423"/>
      <c r="D290" s="424"/>
      <c r="E290" s="424"/>
      <c r="F290" s="424"/>
      <c r="G290" s="424"/>
      <c r="H290" s="424"/>
      <c r="I290" s="424"/>
      <c r="J290" s="426"/>
      <c r="K290" s="426"/>
      <c r="L290" s="424"/>
      <c r="M290" s="424"/>
      <c r="N290" s="424"/>
      <c r="O290" s="426"/>
      <c r="P290" s="426"/>
      <c r="Q290" s="424"/>
      <c r="R290" s="426"/>
      <c r="S290" s="426"/>
      <c r="T290" s="426"/>
      <c r="U290" s="426"/>
      <c r="V290" s="421"/>
    </row>
    <row r="291" spans="1:22">
      <c r="A291" s="416"/>
      <c r="B291" s="394"/>
      <c r="C291" s="413"/>
      <c r="D291" s="414"/>
      <c r="E291" s="414"/>
      <c r="F291" s="414"/>
      <c r="G291" s="414"/>
      <c r="H291" s="414"/>
      <c r="I291" s="414"/>
      <c r="J291" s="415"/>
      <c r="K291" s="415"/>
      <c r="L291" s="414"/>
      <c r="M291" s="414"/>
      <c r="N291" s="414"/>
      <c r="O291" s="415"/>
      <c r="P291" s="415"/>
      <c r="Q291" s="414"/>
      <c r="R291" s="415"/>
      <c r="S291" s="415"/>
      <c r="T291" s="415"/>
      <c r="U291" s="415"/>
      <c r="V291" s="421"/>
    </row>
    <row r="292" spans="1:22">
      <c r="A292" s="416"/>
      <c r="B292" s="417"/>
      <c r="C292" s="418"/>
      <c r="D292" s="419"/>
      <c r="E292" s="419"/>
      <c r="F292" s="419"/>
      <c r="G292" s="419"/>
      <c r="H292" s="419"/>
      <c r="I292" s="419"/>
      <c r="J292" s="420"/>
      <c r="K292" s="420"/>
      <c r="L292" s="419"/>
      <c r="M292" s="419"/>
      <c r="N292" s="419"/>
      <c r="O292" s="420"/>
      <c r="P292" s="420"/>
      <c r="Q292" s="419"/>
      <c r="R292" s="420"/>
      <c r="S292" s="420"/>
      <c r="T292" s="420"/>
      <c r="U292" s="420"/>
      <c r="V292" s="421"/>
    </row>
    <row r="293" spans="1:22" s="439" customFormat="1" ht="15" thickBot="1">
      <c r="A293" s="432"/>
      <c r="B293" s="433"/>
      <c r="C293" s="434"/>
      <c r="D293" s="435"/>
      <c r="E293" s="435"/>
      <c r="F293" s="435"/>
      <c r="G293" s="435"/>
      <c r="H293" s="435"/>
      <c r="I293" s="435"/>
      <c r="J293" s="436"/>
      <c r="K293" s="436"/>
      <c r="L293" s="435"/>
      <c r="M293" s="435"/>
      <c r="N293" s="435"/>
      <c r="O293" s="436"/>
      <c r="P293" s="436"/>
      <c r="Q293" s="435"/>
      <c r="R293" s="436"/>
      <c r="S293" s="436"/>
      <c r="T293" s="436"/>
      <c r="U293" s="436"/>
      <c r="V293" s="421"/>
    </row>
    <row r="294" spans="1:22">
      <c r="A294" s="412"/>
      <c r="B294" s="394"/>
      <c r="C294" s="413"/>
      <c r="D294" s="414"/>
      <c r="E294" s="414"/>
      <c r="F294" s="414"/>
      <c r="G294" s="414"/>
      <c r="H294" s="414"/>
      <c r="I294" s="414"/>
      <c r="J294" s="415"/>
      <c r="K294" s="415"/>
      <c r="L294" s="414"/>
      <c r="M294" s="414"/>
      <c r="N294" s="414"/>
      <c r="O294" s="415"/>
      <c r="P294" s="415"/>
      <c r="Q294" s="414"/>
      <c r="R294" s="415"/>
      <c r="S294" s="415"/>
      <c r="T294" s="415"/>
      <c r="U294" s="415"/>
      <c r="V294" s="421"/>
    </row>
    <row r="295" spans="1:22">
      <c r="A295" s="416"/>
      <c r="B295" s="417"/>
      <c r="C295" s="418"/>
      <c r="D295" s="419"/>
      <c r="E295" s="419"/>
      <c r="F295" s="419"/>
      <c r="G295" s="419"/>
      <c r="H295" s="419"/>
      <c r="I295" s="419"/>
      <c r="J295" s="420"/>
      <c r="K295" s="420"/>
      <c r="L295" s="419"/>
      <c r="M295" s="419"/>
      <c r="N295" s="419"/>
      <c r="O295" s="420"/>
      <c r="P295" s="420"/>
      <c r="Q295" s="419"/>
      <c r="R295" s="420"/>
      <c r="S295" s="420"/>
      <c r="T295" s="420"/>
      <c r="U295" s="420"/>
      <c r="V295" s="421"/>
    </row>
    <row r="296" spans="1:22" s="439" customFormat="1">
      <c r="A296" s="416"/>
      <c r="B296" s="422"/>
      <c r="C296" s="423"/>
      <c r="D296" s="424"/>
      <c r="E296" s="424"/>
      <c r="F296" s="424"/>
      <c r="G296" s="424"/>
      <c r="H296" s="424"/>
      <c r="I296" s="424"/>
      <c r="J296" s="426"/>
      <c r="K296" s="426"/>
      <c r="L296" s="424"/>
      <c r="M296" s="424"/>
      <c r="N296" s="424"/>
      <c r="O296" s="426"/>
      <c r="P296" s="426"/>
      <c r="Q296" s="424"/>
      <c r="R296" s="426"/>
      <c r="S296" s="426"/>
      <c r="T296" s="426"/>
      <c r="U296" s="426"/>
      <c r="V296" s="421"/>
    </row>
    <row r="297" spans="1:22">
      <c r="A297" s="416"/>
      <c r="B297" s="394"/>
      <c r="C297" s="413"/>
      <c r="D297" s="414"/>
      <c r="E297" s="414"/>
      <c r="F297" s="414"/>
      <c r="G297" s="414"/>
      <c r="H297" s="414"/>
      <c r="I297" s="414"/>
      <c r="J297" s="415"/>
      <c r="K297" s="415"/>
      <c r="L297" s="414"/>
      <c r="M297" s="414"/>
      <c r="N297" s="414"/>
      <c r="O297" s="415"/>
      <c r="P297" s="415"/>
      <c r="Q297" s="414"/>
      <c r="R297" s="415"/>
      <c r="S297" s="415"/>
      <c r="T297" s="415"/>
      <c r="U297" s="415"/>
      <c r="V297" s="421"/>
    </row>
    <row r="298" spans="1:22">
      <c r="A298" s="416"/>
      <c r="B298" s="417"/>
      <c r="C298" s="418"/>
      <c r="D298" s="419"/>
      <c r="E298" s="419"/>
      <c r="F298" s="419"/>
      <c r="G298" s="419"/>
      <c r="H298" s="419"/>
      <c r="I298" s="419"/>
      <c r="J298" s="420"/>
      <c r="K298" s="420"/>
      <c r="L298" s="419"/>
      <c r="M298" s="419"/>
      <c r="N298" s="419"/>
      <c r="O298" s="420"/>
      <c r="P298" s="420"/>
      <c r="Q298" s="419"/>
      <c r="R298" s="420"/>
      <c r="S298" s="420"/>
      <c r="T298" s="420"/>
      <c r="U298" s="420"/>
      <c r="V298" s="421"/>
    </row>
    <row r="299" spans="1:22" s="439" customFormat="1">
      <c r="A299" s="416"/>
      <c r="B299" s="422"/>
      <c r="C299" s="423"/>
      <c r="D299" s="424"/>
      <c r="E299" s="424"/>
      <c r="F299" s="424"/>
      <c r="G299" s="424"/>
      <c r="H299" s="424"/>
      <c r="I299" s="424"/>
      <c r="J299" s="426"/>
      <c r="K299" s="426"/>
      <c r="L299" s="424"/>
      <c r="M299" s="424"/>
      <c r="N299" s="424"/>
      <c r="O299" s="426"/>
      <c r="P299" s="426"/>
      <c r="Q299" s="424"/>
      <c r="R299" s="426"/>
      <c r="S299" s="426"/>
      <c r="T299" s="426"/>
      <c r="U299" s="426"/>
      <c r="V299" s="421"/>
    </row>
    <row r="300" spans="1:22">
      <c r="A300" s="416"/>
      <c r="B300" s="394"/>
      <c r="C300" s="413"/>
      <c r="D300" s="414"/>
      <c r="E300" s="414"/>
      <c r="F300" s="414"/>
      <c r="G300" s="414"/>
      <c r="H300" s="414"/>
      <c r="I300" s="414"/>
      <c r="J300" s="415"/>
      <c r="K300" s="415"/>
      <c r="L300" s="414"/>
      <c r="M300" s="414"/>
      <c r="N300" s="414"/>
      <c r="O300" s="415"/>
      <c r="P300" s="415"/>
      <c r="Q300" s="414"/>
      <c r="R300" s="415"/>
      <c r="S300" s="415"/>
      <c r="T300" s="415"/>
      <c r="U300" s="415"/>
      <c r="V300" s="421"/>
    </row>
    <row r="301" spans="1:22">
      <c r="A301" s="416"/>
      <c r="B301" s="417"/>
      <c r="C301" s="418"/>
      <c r="D301" s="419"/>
      <c r="E301" s="419"/>
      <c r="F301" s="419"/>
      <c r="G301" s="419"/>
      <c r="H301" s="419"/>
      <c r="I301" s="419"/>
      <c r="J301" s="420"/>
      <c r="K301" s="420"/>
      <c r="L301" s="419"/>
      <c r="M301" s="419"/>
      <c r="N301" s="419"/>
      <c r="O301" s="420"/>
      <c r="P301" s="420"/>
      <c r="Q301" s="419"/>
      <c r="R301" s="420"/>
      <c r="S301" s="420"/>
      <c r="T301" s="420"/>
      <c r="U301" s="420"/>
      <c r="V301" s="421"/>
    </row>
    <row r="302" spans="1:22" s="439" customFormat="1">
      <c r="A302" s="416"/>
      <c r="B302" s="422"/>
      <c r="C302" s="423"/>
      <c r="D302" s="424"/>
      <c r="E302" s="424"/>
      <c r="F302" s="424"/>
      <c r="G302" s="424"/>
      <c r="H302" s="424"/>
      <c r="I302" s="424"/>
      <c r="J302" s="426"/>
      <c r="K302" s="426"/>
      <c r="L302" s="424"/>
      <c r="M302" s="424"/>
      <c r="N302" s="424"/>
      <c r="O302" s="426"/>
      <c r="P302" s="426"/>
      <c r="Q302" s="424"/>
      <c r="R302" s="426"/>
      <c r="S302" s="426"/>
      <c r="T302" s="426"/>
      <c r="U302" s="426"/>
      <c r="V302" s="421"/>
    </row>
    <row r="303" spans="1:22">
      <c r="A303" s="416"/>
      <c r="B303" s="394"/>
      <c r="C303" s="413"/>
      <c r="D303" s="414"/>
      <c r="E303" s="414"/>
      <c r="F303" s="414"/>
      <c r="G303" s="414"/>
      <c r="H303" s="414"/>
      <c r="I303" s="414"/>
      <c r="J303" s="415"/>
      <c r="K303" s="415"/>
      <c r="L303" s="414"/>
      <c r="M303" s="414"/>
      <c r="N303" s="414"/>
      <c r="O303" s="415"/>
      <c r="P303" s="415"/>
      <c r="Q303" s="414"/>
      <c r="R303" s="415"/>
      <c r="S303" s="415"/>
      <c r="T303" s="415"/>
      <c r="U303" s="415"/>
      <c r="V303" s="421"/>
    </row>
    <row r="304" spans="1:22">
      <c r="A304" s="416"/>
      <c r="B304" s="417"/>
      <c r="C304" s="418"/>
      <c r="D304" s="419"/>
      <c r="E304" s="419"/>
      <c r="F304" s="419"/>
      <c r="G304" s="419"/>
      <c r="H304" s="419"/>
      <c r="I304" s="419"/>
      <c r="J304" s="420"/>
      <c r="K304" s="420"/>
      <c r="L304" s="419"/>
      <c r="M304" s="419"/>
      <c r="N304" s="419"/>
      <c r="O304" s="420"/>
      <c r="P304" s="420"/>
      <c r="Q304" s="419"/>
      <c r="R304" s="420"/>
      <c r="S304" s="420"/>
      <c r="T304" s="420"/>
      <c r="U304" s="420"/>
      <c r="V304" s="421"/>
    </row>
    <row r="305" spans="1:22" s="439" customFormat="1">
      <c r="A305" s="416"/>
      <c r="B305" s="422"/>
      <c r="C305" s="423"/>
      <c r="D305" s="424"/>
      <c r="E305" s="424"/>
      <c r="F305" s="424"/>
      <c r="G305" s="424"/>
      <c r="H305" s="424"/>
      <c r="I305" s="424"/>
      <c r="J305" s="426"/>
      <c r="K305" s="426"/>
      <c r="L305" s="424"/>
      <c r="M305" s="424"/>
      <c r="N305" s="424"/>
      <c r="O305" s="426"/>
      <c r="P305" s="426"/>
      <c r="Q305" s="424"/>
      <c r="R305" s="426"/>
      <c r="S305" s="426"/>
      <c r="T305" s="426"/>
      <c r="U305" s="426"/>
      <c r="V305" s="421"/>
    </row>
    <row r="306" spans="1:22">
      <c r="A306" s="416"/>
      <c r="B306" s="394"/>
      <c r="C306" s="413"/>
      <c r="D306" s="414"/>
      <c r="E306" s="414"/>
      <c r="F306" s="414"/>
      <c r="G306" s="414"/>
      <c r="H306" s="414"/>
      <c r="I306" s="414"/>
      <c r="J306" s="415"/>
      <c r="K306" s="415"/>
      <c r="L306" s="414"/>
      <c r="M306" s="414"/>
      <c r="N306" s="414"/>
      <c r="O306" s="415"/>
      <c r="P306" s="415"/>
      <c r="Q306" s="414"/>
      <c r="R306" s="415"/>
      <c r="S306" s="415"/>
      <c r="T306" s="415"/>
      <c r="U306" s="415"/>
      <c r="V306" s="421"/>
    </row>
    <row r="307" spans="1:22">
      <c r="A307" s="416"/>
      <c r="B307" s="417"/>
      <c r="C307" s="418"/>
      <c r="D307" s="419"/>
      <c r="E307" s="419"/>
      <c r="F307" s="419"/>
      <c r="G307" s="419"/>
      <c r="H307" s="419"/>
      <c r="I307" s="419"/>
      <c r="J307" s="420"/>
      <c r="K307" s="420"/>
      <c r="L307" s="419"/>
      <c r="M307" s="419"/>
      <c r="N307" s="419"/>
      <c r="O307" s="420"/>
      <c r="P307" s="420"/>
      <c r="Q307" s="419"/>
      <c r="R307" s="420"/>
      <c r="S307" s="420"/>
      <c r="T307" s="420"/>
      <c r="U307" s="420"/>
      <c r="V307" s="421"/>
    </row>
    <row r="308" spans="1:22" s="439" customFormat="1">
      <c r="A308" s="416"/>
      <c r="B308" s="422"/>
      <c r="C308" s="423"/>
      <c r="D308" s="424"/>
      <c r="E308" s="424"/>
      <c r="F308" s="424"/>
      <c r="G308" s="424"/>
      <c r="H308" s="424"/>
      <c r="I308" s="424"/>
      <c r="J308" s="426"/>
      <c r="K308" s="426"/>
      <c r="L308" s="424"/>
      <c r="M308" s="424"/>
      <c r="N308" s="424"/>
      <c r="O308" s="426"/>
      <c r="P308" s="426"/>
      <c r="Q308" s="424"/>
      <c r="R308" s="426"/>
      <c r="S308" s="426"/>
      <c r="T308" s="426"/>
      <c r="U308" s="426"/>
      <c r="V308" s="421"/>
    </row>
    <row r="309" spans="1:22">
      <c r="A309" s="416"/>
      <c r="B309" s="394"/>
      <c r="C309" s="413"/>
      <c r="D309" s="414"/>
      <c r="E309" s="414"/>
      <c r="F309" s="414"/>
      <c r="G309" s="414"/>
      <c r="H309" s="414"/>
      <c r="I309" s="414"/>
      <c r="J309" s="415"/>
      <c r="K309" s="415"/>
      <c r="L309" s="414"/>
      <c r="M309" s="414"/>
      <c r="N309" s="414"/>
      <c r="O309" s="415"/>
      <c r="P309" s="415"/>
      <c r="Q309" s="414"/>
      <c r="R309" s="415"/>
      <c r="S309" s="415"/>
      <c r="T309" s="415"/>
      <c r="U309" s="415"/>
      <c r="V309" s="421"/>
    </row>
    <row r="310" spans="1:22">
      <c r="A310" s="416"/>
      <c r="B310" s="417"/>
      <c r="C310" s="418"/>
      <c r="D310" s="419"/>
      <c r="E310" s="419"/>
      <c r="F310" s="419"/>
      <c r="G310" s="419"/>
      <c r="H310" s="419"/>
      <c r="I310" s="419"/>
      <c r="J310" s="420"/>
      <c r="K310" s="420"/>
      <c r="L310" s="419"/>
      <c r="M310" s="419"/>
      <c r="N310" s="419"/>
      <c r="O310" s="420"/>
      <c r="P310" s="420"/>
      <c r="Q310" s="419"/>
      <c r="R310" s="420"/>
      <c r="S310" s="420"/>
      <c r="T310" s="420"/>
      <c r="U310" s="420"/>
      <c r="V310" s="421"/>
    </row>
    <row r="311" spans="1:22" s="439" customFormat="1" ht="15" thickBot="1">
      <c r="A311" s="416"/>
      <c r="B311" s="428"/>
      <c r="C311" s="429"/>
      <c r="D311" s="430"/>
      <c r="E311" s="430"/>
      <c r="F311" s="430"/>
      <c r="G311" s="430"/>
      <c r="H311" s="430"/>
      <c r="I311" s="430"/>
      <c r="J311" s="431"/>
      <c r="K311" s="431"/>
      <c r="L311" s="430"/>
      <c r="M311" s="430"/>
      <c r="N311" s="430"/>
      <c r="O311" s="431"/>
      <c r="P311" s="431"/>
      <c r="Q311" s="430"/>
      <c r="R311" s="431"/>
      <c r="S311" s="431"/>
      <c r="T311" s="431"/>
      <c r="U311" s="431"/>
      <c r="V311" s="421"/>
    </row>
    <row r="312" spans="1:22" ht="15" thickTop="1">
      <c r="A312" s="416"/>
      <c r="B312" s="417"/>
      <c r="C312" s="418"/>
      <c r="D312" s="419"/>
      <c r="E312" s="419"/>
      <c r="F312" s="419"/>
      <c r="G312" s="419"/>
      <c r="H312" s="419"/>
      <c r="I312" s="419"/>
      <c r="J312" s="420"/>
      <c r="K312" s="420"/>
      <c r="L312" s="419"/>
      <c r="M312" s="419"/>
      <c r="N312" s="419"/>
      <c r="O312" s="420"/>
      <c r="P312" s="420"/>
      <c r="Q312" s="419"/>
      <c r="R312" s="420"/>
      <c r="S312" s="420"/>
      <c r="T312" s="420"/>
      <c r="U312" s="420"/>
      <c r="V312" s="421"/>
    </row>
    <row r="313" spans="1:22">
      <c r="A313" s="416"/>
      <c r="B313" s="417"/>
      <c r="C313" s="418"/>
      <c r="D313" s="419"/>
      <c r="E313" s="419"/>
      <c r="F313" s="419"/>
      <c r="G313" s="419"/>
      <c r="H313" s="419"/>
      <c r="I313" s="419"/>
      <c r="J313" s="420"/>
      <c r="K313" s="420"/>
      <c r="L313" s="419"/>
      <c r="M313" s="419"/>
      <c r="N313" s="419"/>
      <c r="O313" s="420"/>
      <c r="P313" s="420"/>
      <c r="Q313" s="419"/>
      <c r="R313" s="420"/>
      <c r="S313" s="420"/>
      <c r="T313" s="420"/>
      <c r="U313" s="420"/>
      <c r="V313" s="421"/>
    </row>
    <row r="314" spans="1:22" s="439" customFormat="1">
      <c r="A314" s="416"/>
      <c r="B314" s="422"/>
      <c r="C314" s="423"/>
      <c r="D314" s="424"/>
      <c r="E314" s="424"/>
      <c r="F314" s="424"/>
      <c r="G314" s="424"/>
      <c r="H314" s="424"/>
      <c r="I314" s="424"/>
      <c r="J314" s="426"/>
      <c r="K314" s="426"/>
      <c r="L314" s="424"/>
      <c r="M314" s="424"/>
      <c r="N314" s="424"/>
      <c r="O314" s="426"/>
      <c r="P314" s="426"/>
      <c r="Q314" s="424"/>
      <c r="R314" s="426"/>
      <c r="S314" s="426"/>
      <c r="T314" s="426"/>
      <c r="U314" s="426"/>
      <c r="V314" s="421"/>
    </row>
    <row r="315" spans="1:22">
      <c r="A315" s="416"/>
      <c r="B315" s="394"/>
      <c r="C315" s="413"/>
      <c r="D315" s="414"/>
      <c r="E315" s="414"/>
      <c r="F315" s="414"/>
      <c r="G315" s="414"/>
      <c r="H315" s="414"/>
      <c r="I315" s="414"/>
      <c r="J315" s="415"/>
      <c r="K315" s="415"/>
      <c r="L315" s="414"/>
      <c r="M315" s="414"/>
      <c r="N315" s="414"/>
      <c r="O315" s="415"/>
      <c r="P315" s="415"/>
      <c r="Q315" s="414"/>
      <c r="R315" s="415"/>
      <c r="S315" s="415"/>
      <c r="T315" s="415"/>
      <c r="U315" s="415"/>
      <c r="V315" s="421"/>
    </row>
    <row r="316" spans="1:22">
      <c r="A316" s="416"/>
      <c r="B316" s="417"/>
      <c r="C316" s="418"/>
      <c r="D316" s="419"/>
      <c r="E316" s="419"/>
      <c r="F316" s="419"/>
      <c r="G316" s="419"/>
      <c r="H316" s="419"/>
      <c r="I316" s="419"/>
      <c r="J316" s="420"/>
      <c r="K316" s="420"/>
      <c r="L316" s="419"/>
      <c r="M316" s="419"/>
      <c r="N316" s="419"/>
      <c r="O316" s="420"/>
      <c r="P316" s="420"/>
      <c r="Q316" s="419"/>
      <c r="R316" s="420"/>
      <c r="S316" s="420"/>
      <c r="T316" s="420"/>
      <c r="U316" s="420"/>
      <c r="V316" s="421"/>
    </row>
    <row r="317" spans="1:22" s="439" customFormat="1">
      <c r="A317" s="416"/>
      <c r="B317" s="422"/>
      <c r="C317" s="423"/>
      <c r="D317" s="424"/>
      <c r="E317" s="424"/>
      <c r="F317" s="424"/>
      <c r="G317" s="424"/>
      <c r="H317" s="424"/>
      <c r="I317" s="424"/>
      <c r="J317" s="426"/>
      <c r="K317" s="426"/>
      <c r="L317" s="424"/>
      <c r="M317" s="424"/>
      <c r="N317" s="424"/>
      <c r="O317" s="426"/>
      <c r="P317" s="426"/>
      <c r="Q317" s="424"/>
      <c r="R317" s="426"/>
      <c r="S317" s="426"/>
      <c r="T317" s="426"/>
      <c r="U317" s="426"/>
      <c r="V317" s="421"/>
    </row>
    <row r="318" spans="1:22">
      <c r="A318" s="416"/>
      <c r="B318" s="394"/>
      <c r="C318" s="413"/>
      <c r="D318" s="414"/>
      <c r="E318" s="414"/>
      <c r="F318" s="414"/>
      <c r="G318" s="414"/>
      <c r="H318" s="414"/>
      <c r="I318" s="414"/>
      <c r="J318" s="415"/>
      <c r="K318" s="415"/>
      <c r="L318" s="414"/>
      <c r="M318" s="414"/>
      <c r="N318" s="414"/>
      <c r="O318" s="415"/>
      <c r="P318" s="415"/>
      <c r="Q318" s="414"/>
      <c r="R318" s="415"/>
      <c r="S318" s="415"/>
      <c r="T318" s="415"/>
      <c r="U318" s="415"/>
      <c r="V318" s="421"/>
    </row>
    <row r="319" spans="1:22">
      <c r="A319" s="416"/>
      <c r="B319" s="417"/>
      <c r="C319" s="418"/>
      <c r="D319" s="419"/>
      <c r="E319" s="419"/>
      <c r="F319" s="419"/>
      <c r="G319" s="419"/>
      <c r="H319" s="419"/>
      <c r="I319" s="419"/>
      <c r="J319" s="420"/>
      <c r="K319" s="420"/>
      <c r="L319" s="419"/>
      <c r="M319" s="419"/>
      <c r="N319" s="419"/>
      <c r="O319" s="420"/>
      <c r="P319" s="420"/>
      <c r="Q319" s="419"/>
      <c r="R319" s="420"/>
      <c r="S319" s="420"/>
      <c r="T319" s="420"/>
      <c r="U319" s="420"/>
      <c r="V319" s="421"/>
    </row>
    <row r="320" spans="1:22" s="439" customFormat="1">
      <c r="A320" s="416"/>
      <c r="B320" s="422"/>
      <c r="C320" s="423"/>
      <c r="D320" s="424"/>
      <c r="E320" s="424"/>
      <c r="F320" s="424"/>
      <c r="G320" s="424"/>
      <c r="H320" s="424"/>
      <c r="I320" s="424"/>
      <c r="J320" s="426"/>
      <c r="K320" s="426"/>
      <c r="L320" s="424"/>
      <c r="M320" s="424"/>
      <c r="N320" s="424"/>
      <c r="O320" s="426"/>
      <c r="P320" s="426"/>
      <c r="Q320" s="424"/>
      <c r="R320" s="426"/>
      <c r="S320" s="426"/>
      <c r="T320" s="426"/>
      <c r="U320" s="426"/>
      <c r="V320" s="421"/>
    </row>
    <row r="321" spans="1:22">
      <c r="A321" s="416"/>
      <c r="B321" s="394"/>
      <c r="C321" s="413"/>
      <c r="D321" s="414"/>
      <c r="E321" s="414"/>
      <c r="F321" s="414"/>
      <c r="G321" s="414"/>
      <c r="H321" s="414"/>
      <c r="I321" s="414"/>
      <c r="J321" s="415"/>
      <c r="K321" s="415"/>
      <c r="L321" s="414"/>
      <c r="M321" s="414"/>
      <c r="N321" s="414"/>
      <c r="O321" s="415"/>
      <c r="P321" s="415"/>
      <c r="Q321" s="414"/>
      <c r="R321" s="415"/>
      <c r="S321" s="415"/>
      <c r="T321" s="415"/>
      <c r="U321" s="415"/>
      <c r="V321" s="421"/>
    </row>
    <row r="322" spans="1:22">
      <c r="A322" s="416"/>
      <c r="B322" s="417"/>
      <c r="C322" s="418"/>
      <c r="D322" s="419"/>
      <c r="E322" s="419"/>
      <c r="F322" s="419"/>
      <c r="G322" s="419"/>
      <c r="H322" s="419"/>
      <c r="I322" s="419"/>
      <c r="J322" s="420"/>
      <c r="K322" s="420"/>
      <c r="L322" s="419"/>
      <c r="M322" s="419"/>
      <c r="N322" s="419"/>
      <c r="O322" s="420"/>
      <c r="P322" s="420"/>
      <c r="Q322" s="419"/>
      <c r="R322" s="420"/>
      <c r="S322" s="420"/>
      <c r="T322" s="420"/>
      <c r="U322" s="420"/>
      <c r="V322" s="421"/>
    </row>
    <row r="323" spans="1:22" s="439" customFormat="1">
      <c r="A323" s="416"/>
      <c r="B323" s="422"/>
      <c r="C323" s="423"/>
      <c r="D323" s="424"/>
      <c r="E323" s="424"/>
      <c r="F323" s="424"/>
      <c r="G323" s="424"/>
      <c r="H323" s="424"/>
      <c r="I323" s="424"/>
      <c r="J323" s="426"/>
      <c r="K323" s="426"/>
      <c r="L323" s="424"/>
      <c r="M323" s="424"/>
      <c r="N323" s="424"/>
      <c r="O323" s="426"/>
      <c r="P323" s="426"/>
      <c r="Q323" s="424"/>
      <c r="R323" s="426"/>
      <c r="S323" s="426"/>
      <c r="T323" s="426"/>
      <c r="U323" s="426"/>
      <c r="V323" s="421"/>
    </row>
    <row r="324" spans="1:22">
      <c r="A324" s="416"/>
      <c r="B324" s="394"/>
      <c r="C324" s="413"/>
      <c r="D324" s="414"/>
      <c r="E324" s="414"/>
      <c r="F324" s="414"/>
      <c r="G324" s="414"/>
      <c r="H324" s="414"/>
      <c r="I324" s="414"/>
      <c r="J324" s="415"/>
      <c r="K324" s="415"/>
      <c r="L324" s="414"/>
      <c r="M324" s="414"/>
      <c r="N324" s="414"/>
      <c r="O324" s="415"/>
      <c r="P324" s="415"/>
      <c r="Q324" s="414"/>
      <c r="R324" s="415"/>
      <c r="S324" s="415"/>
      <c r="T324" s="415"/>
      <c r="U324" s="415"/>
      <c r="V324" s="421"/>
    </row>
    <row r="325" spans="1:22">
      <c r="A325" s="416"/>
      <c r="B325" s="417"/>
      <c r="C325" s="418"/>
      <c r="D325" s="419"/>
      <c r="E325" s="419"/>
      <c r="F325" s="419"/>
      <c r="G325" s="419"/>
      <c r="H325" s="419"/>
      <c r="I325" s="419"/>
      <c r="J325" s="420"/>
      <c r="K325" s="420"/>
      <c r="L325" s="419"/>
      <c r="M325" s="419"/>
      <c r="N325" s="419"/>
      <c r="O325" s="420"/>
      <c r="P325" s="420"/>
      <c r="Q325" s="419"/>
      <c r="R325" s="420"/>
      <c r="S325" s="420"/>
      <c r="T325" s="420"/>
      <c r="U325" s="420"/>
      <c r="V325" s="421"/>
    </row>
    <row r="326" spans="1:22" s="439" customFormat="1">
      <c r="A326" s="416"/>
      <c r="B326" s="422"/>
      <c r="C326" s="423"/>
      <c r="D326" s="424"/>
      <c r="E326" s="424"/>
      <c r="F326" s="424"/>
      <c r="G326" s="424"/>
      <c r="H326" s="424"/>
      <c r="I326" s="424"/>
      <c r="J326" s="426"/>
      <c r="K326" s="426"/>
      <c r="L326" s="424"/>
      <c r="M326" s="424"/>
      <c r="N326" s="424"/>
      <c r="O326" s="426"/>
      <c r="P326" s="426"/>
      <c r="Q326" s="424"/>
      <c r="R326" s="426"/>
      <c r="S326" s="426"/>
      <c r="T326" s="426"/>
      <c r="U326" s="426"/>
      <c r="V326" s="421"/>
    </row>
    <row r="327" spans="1:22">
      <c r="A327" s="416"/>
      <c r="B327" s="394"/>
      <c r="C327" s="413"/>
      <c r="D327" s="414"/>
      <c r="E327" s="414"/>
      <c r="F327" s="414"/>
      <c r="G327" s="414"/>
      <c r="H327" s="414"/>
      <c r="I327" s="414"/>
      <c r="J327" s="415"/>
      <c r="K327" s="415"/>
      <c r="L327" s="414"/>
      <c r="M327" s="414"/>
      <c r="N327" s="414"/>
      <c r="O327" s="415"/>
      <c r="P327" s="415"/>
      <c r="Q327" s="414"/>
      <c r="R327" s="415"/>
      <c r="S327" s="415"/>
      <c r="T327" s="415"/>
      <c r="U327" s="415"/>
      <c r="V327" s="421"/>
    </row>
    <row r="328" spans="1:22">
      <c r="A328" s="416"/>
      <c r="B328" s="417"/>
      <c r="C328" s="418"/>
      <c r="D328" s="419"/>
      <c r="E328" s="419"/>
      <c r="F328" s="419"/>
      <c r="G328" s="419"/>
      <c r="H328" s="419"/>
      <c r="I328" s="419"/>
      <c r="J328" s="420"/>
      <c r="K328" s="420"/>
      <c r="L328" s="419"/>
      <c r="M328" s="419"/>
      <c r="N328" s="419"/>
      <c r="O328" s="420"/>
      <c r="P328" s="420"/>
      <c r="Q328" s="419"/>
      <c r="R328" s="420"/>
      <c r="S328" s="420"/>
      <c r="T328" s="420"/>
      <c r="U328" s="420"/>
      <c r="V328" s="421"/>
    </row>
    <row r="329" spans="1:22" s="439" customFormat="1" ht="15" thickBot="1">
      <c r="A329" s="432"/>
      <c r="B329" s="433"/>
      <c r="C329" s="434"/>
      <c r="D329" s="435"/>
      <c r="E329" s="435"/>
      <c r="F329" s="435"/>
      <c r="G329" s="435"/>
      <c r="H329" s="435"/>
      <c r="I329" s="435"/>
      <c r="J329" s="436"/>
      <c r="K329" s="436"/>
      <c r="L329" s="435"/>
      <c r="M329" s="435"/>
      <c r="N329" s="435"/>
      <c r="O329" s="436"/>
      <c r="P329" s="436"/>
      <c r="Q329" s="435"/>
      <c r="R329" s="436"/>
      <c r="S329" s="436"/>
      <c r="T329" s="436"/>
      <c r="U329" s="436"/>
      <c r="V329" s="421"/>
    </row>
    <row r="330" spans="1:22">
      <c r="A330" s="412"/>
      <c r="B330" s="394"/>
      <c r="C330" s="413"/>
      <c r="D330" s="414"/>
      <c r="E330" s="414"/>
      <c r="F330" s="414"/>
      <c r="G330" s="414"/>
      <c r="H330" s="414"/>
      <c r="I330" s="414"/>
      <c r="J330" s="415"/>
      <c r="K330" s="415"/>
      <c r="L330" s="414"/>
      <c r="M330" s="414"/>
      <c r="N330" s="414"/>
      <c r="O330" s="415"/>
      <c r="P330" s="415"/>
      <c r="Q330" s="414"/>
      <c r="R330" s="415"/>
      <c r="S330" s="415"/>
      <c r="T330" s="415"/>
      <c r="U330" s="415"/>
      <c r="V330" s="421"/>
    </row>
    <row r="331" spans="1:22">
      <c r="A331" s="416"/>
      <c r="B331" s="417"/>
      <c r="C331" s="418"/>
      <c r="D331" s="419"/>
      <c r="E331" s="419"/>
      <c r="F331" s="419"/>
      <c r="G331" s="419"/>
      <c r="H331" s="419"/>
      <c r="I331" s="419"/>
      <c r="J331" s="420"/>
      <c r="K331" s="420"/>
      <c r="L331" s="419"/>
      <c r="M331" s="419"/>
      <c r="N331" s="419"/>
      <c r="O331" s="420"/>
      <c r="P331" s="420"/>
      <c r="Q331" s="419"/>
      <c r="R331" s="420"/>
      <c r="S331" s="420"/>
      <c r="T331" s="420"/>
      <c r="U331" s="420"/>
      <c r="V331" s="421"/>
    </row>
    <row r="332" spans="1:22">
      <c r="A332" s="416"/>
      <c r="B332" s="422"/>
      <c r="C332" s="423"/>
      <c r="D332" s="424"/>
      <c r="E332" s="424"/>
      <c r="F332" s="424"/>
      <c r="G332" s="424"/>
      <c r="H332" s="424"/>
      <c r="I332" s="424"/>
      <c r="J332" s="426"/>
      <c r="K332" s="426"/>
      <c r="L332" s="424"/>
      <c r="M332" s="424"/>
      <c r="N332" s="424"/>
      <c r="O332" s="426"/>
      <c r="P332" s="426"/>
      <c r="Q332" s="424"/>
      <c r="R332" s="426"/>
      <c r="S332" s="426"/>
      <c r="T332" s="426"/>
      <c r="U332" s="426"/>
      <c r="V332" s="421"/>
    </row>
    <row r="333" spans="1:22">
      <c r="A333" s="416"/>
      <c r="B333" s="394"/>
      <c r="C333" s="413"/>
      <c r="D333" s="414"/>
      <c r="E333" s="414"/>
      <c r="F333" s="414"/>
      <c r="G333" s="414"/>
      <c r="H333" s="414"/>
      <c r="I333" s="414"/>
      <c r="J333" s="415"/>
      <c r="K333" s="415"/>
      <c r="L333" s="414"/>
      <c r="M333" s="414"/>
      <c r="N333" s="414"/>
      <c r="O333" s="415"/>
      <c r="P333" s="415"/>
      <c r="Q333" s="414"/>
      <c r="R333" s="415"/>
      <c r="S333" s="415"/>
      <c r="T333" s="415"/>
      <c r="U333" s="415"/>
      <c r="V333" s="421"/>
    </row>
    <row r="334" spans="1:22">
      <c r="A334" s="416"/>
      <c r="B334" s="417"/>
      <c r="C334" s="418"/>
      <c r="D334" s="419"/>
      <c r="E334" s="419"/>
      <c r="F334" s="419"/>
      <c r="G334" s="419"/>
      <c r="H334" s="419"/>
      <c r="I334" s="419"/>
      <c r="J334" s="420"/>
      <c r="K334" s="420"/>
      <c r="L334" s="419"/>
      <c r="M334" s="419"/>
      <c r="N334" s="419"/>
      <c r="O334" s="420"/>
      <c r="P334" s="420"/>
      <c r="Q334" s="419"/>
      <c r="R334" s="420"/>
      <c r="S334" s="420"/>
      <c r="T334" s="420"/>
      <c r="U334" s="420"/>
      <c r="V334" s="421"/>
    </row>
    <row r="335" spans="1:22">
      <c r="A335" s="416"/>
      <c r="B335" s="422"/>
      <c r="C335" s="423"/>
      <c r="D335" s="424"/>
      <c r="E335" s="424"/>
      <c r="F335" s="424"/>
      <c r="G335" s="424"/>
      <c r="H335" s="424"/>
      <c r="I335" s="424"/>
      <c r="J335" s="426"/>
      <c r="K335" s="426"/>
      <c r="L335" s="424"/>
      <c r="M335" s="424"/>
      <c r="N335" s="424"/>
      <c r="O335" s="426"/>
      <c r="P335" s="426"/>
      <c r="Q335" s="424"/>
      <c r="R335" s="426"/>
      <c r="S335" s="426"/>
      <c r="T335" s="426"/>
      <c r="U335" s="426"/>
      <c r="V335" s="421"/>
    </row>
    <row r="336" spans="1:22">
      <c r="A336" s="416"/>
      <c r="B336" s="394"/>
      <c r="C336" s="413"/>
      <c r="D336" s="414"/>
      <c r="E336" s="414"/>
      <c r="F336" s="414"/>
      <c r="G336" s="414"/>
      <c r="H336" s="414"/>
      <c r="I336" s="414"/>
      <c r="J336" s="415"/>
      <c r="K336" s="415"/>
      <c r="L336" s="414"/>
      <c r="M336" s="414"/>
      <c r="N336" s="414"/>
      <c r="O336" s="415"/>
      <c r="P336" s="415"/>
      <c r="Q336" s="414"/>
      <c r="R336" s="415"/>
      <c r="S336" s="415"/>
      <c r="T336" s="415"/>
      <c r="U336" s="415"/>
      <c r="V336" s="421"/>
    </row>
    <row r="337" spans="1:22">
      <c r="A337" s="416"/>
      <c r="B337" s="417"/>
      <c r="C337" s="418"/>
      <c r="D337" s="419"/>
      <c r="E337" s="419"/>
      <c r="F337" s="419"/>
      <c r="G337" s="419"/>
      <c r="H337" s="419"/>
      <c r="I337" s="419"/>
      <c r="J337" s="420"/>
      <c r="K337" s="420"/>
      <c r="L337" s="419"/>
      <c r="M337" s="419"/>
      <c r="N337" s="419"/>
      <c r="O337" s="420"/>
      <c r="P337" s="420"/>
      <c r="Q337" s="419"/>
      <c r="R337" s="420"/>
      <c r="S337" s="420"/>
      <c r="T337" s="420"/>
      <c r="U337" s="420"/>
      <c r="V337" s="421"/>
    </row>
    <row r="338" spans="1:22">
      <c r="A338" s="416"/>
      <c r="B338" s="422"/>
      <c r="C338" s="423"/>
      <c r="D338" s="424"/>
      <c r="E338" s="424"/>
      <c r="F338" s="424"/>
      <c r="G338" s="424"/>
      <c r="H338" s="424"/>
      <c r="I338" s="424"/>
      <c r="J338" s="426"/>
      <c r="K338" s="426"/>
      <c r="L338" s="424"/>
      <c r="M338" s="424"/>
      <c r="N338" s="424"/>
      <c r="O338" s="426"/>
      <c r="P338" s="426"/>
      <c r="Q338" s="424"/>
      <c r="R338" s="426"/>
      <c r="S338" s="426"/>
      <c r="T338" s="426"/>
      <c r="U338" s="426"/>
      <c r="V338" s="421"/>
    </row>
    <row r="339" spans="1:22">
      <c r="A339" s="416"/>
      <c r="B339" s="394"/>
      <c r="C339" s="413"/>
      <c r="D339" s="414"/>
      <c r="E339" s="414"/>
      <c r="F339" s="414"/>
      <c r="G339" s="414"/>
      <c r="H339" s="414"/>
      <c r="I339" s="414"/>
      <c r="J339" s="415"/>
      <c r="K339" s="415"/>
      <c r="L339" s="414"/>
      <c r="M339" s="414"/>
      <c r="N339" s="414"/>
      <c r="O339" s="415"/>
      <c r="P339" s="415"/>
      <c r="Q339" s="414"/>
      <c r="R339" s="415"/>
      <c r="S339" s="415"/>
      <c r="T339" s="415"/>
      <c r="U339" s="415"/>
      <c r="V339" s="421"/>
    </row>
    <row r="340" spans="1:22">
      <c r="A340" s="416"/>
      <c r="B340" s="417"/>
      <c r="C340" s="418"/>
      <c r="D340" s="419"/>
      <c r="E340" s="419"/>
      <c r="F340" s="419"/>
      <c r="G340" s="419"/>
      <c r="H340" s="419"/>
      <c r="I340" s="419"/>
      <c r="J340" s="420"/>
      <c r="K340" s="420"/>
      <c r="L340" s="419"/>
      <c r="M340" s="419"/>
      <c r="N340" s="419"/>
      <c r="O340" s="420"/>
      <c r="P340" s="420"/>
      <c r="Q340" s="419"/>
      <c r="R340" s="420"/>
      <c r="S340" s="420"/>
      <c r="T340" s="420"/>
      <c r="U340" s="420"/>
      <c r="V340" s="421"/>
    </row>
    <row r="341" spans="1:22">
      <c r="A341" s="416"/>
      <c r="B341" s="422"/>
      <c r="C341" s="423"/>
      <c r="D341" s="424"/>
      <c r="E341" s="424"/>
      <c r="F341" s="424"/>
      <c r="G341" s="424"/>
      <c r="H341" s="424"/>
      <c r="I341" s="424"/>
      <c r="J341" s="426"/>
      <c r="K341" s="426"/>
      <c r="L341" s="424"/>
      <c r="M341" s="424"/>
      <c r="N341" s="424"/>
      <c r="O341" s="426"/>
      <c r="P341" s="426"/>
      <c r="Q341" s="424"/>
      <c r="R341" s="426"/>
      <c r="S341" s="426"/>
      <c r="T341" s="426"/>
      <c r="U341" s="426"/>
      <c r="V341" s="421"/>
    </row>
    <row r="342" spans="1:22">
      <c r="A342" s="416"/>
      <c r="B342" s="394"/>
      <c r="C342" s="413"/>
      <c r="D342" s="414"/>
      <c r="E342" s="414"/>
      <c r="F342" s="414"/>
      <c r="G342" s="414"/>
      <c r="H342" s="414"/>
      <c r="I342" s="414"/>
      <c r="J342" s="415"/>
      <c r="K342" s="415"/>
      <c r="L342" s="414"/>
      <c r="M342" s="414"/>
      <c r="N342" s="414"/>
      <c r="O342" s="415"/>
      <c r="P342" s="415"/>
      <c r="Q342" s="414"/>
      <c r="R342" s="415"/>
      <c r="S342" s="415"/>
      <c r="T342" s="415"/>
      <c r="U342" s="415"/>
      <c r="V342" s="421"/>
    </row>
    <row r="343" spans="1:22">
      <c r="A343" s="416"/>
      <c r="B343" s="417"/>
      <c r="C343" s="418"/>
      <c r="D343" s="419"/>
      <c r="E343" s="419"/>
      <c r="F343" s="419"/>
      <c r="G343" s="419"/>
      <c r="H343" s="419"/>
      <c r="I343" s="419"/>
      <c r="J343" s="420"/>
      <c r="K343" s="420"/>
      <c r="L343" s="419"/>
      <c r="M343" s="419"/>
      <c r="N343" s="419"/>
      <c r="O343" s="420"/>
      <c r="P343" s="420"/>
      <c r="Q343" s="419"/>
      <c r="R343" s="420"/>
      <c r="S343" s="420"/>
      <c r="T343" s="420"/>
      <c r="U343" s="420"/>
      <c r="V343" s="421"/>
    </row>
    <row r="344" spans="1:22">
      <c r="A344" s="416"/>
      <c r="B344" s="422"/>
      <c r="C344" s="423"/>
      <c r="D344" s="424"/>
      <c r="E344" s="424"/>
      <c r="F344" s="424"/>
      <c r="G344" s="424"/>
      <c r="H344" s="424"/>
      <c r="I344" s="424"/>
      <c r="J344" s="426"/>
      <c r="K344" s="426"/>
      <c r="L344" s="424"/>
      <c r="M344" s="424"/>
      <c r="N344" s="424"/>
      <c r="O344" s="426"/>
      <c r="P344" s="426"/>
      <c r="Q344" s="424"/>
      <c r="R344" s="426"/>
      <c r="S344" s="426"/>
      <c r="T344" s="426"/>
      <c r="U344" s="426"/>
      <c r="V344" s="421"/>
    </row>
    <row r="345" spans="1:22">
      <c r="A345" s="416"/>
      <c r="B345" s="394"/>
      <c r="C345" s="413"/>
      <c r="D345" s="414"/>
      <c r="E345" s="414"/>
      <c r="F345" s="414"/>
      <c r="G345" s="414"/>
      <c r="H345" s="414"/>
      <c r="I345" s="414"/>
      <c r="J345" s="415"/>
      <c r="K345" s="415"/>
      <c r="L345" s="414"/>
      <c r="M345" s="414"/>
      <c r="N345" s="414"/>
      <c r="O345" s="415"/>
      <c r="P345" s="415"/>
      <c r="Q345" s="414"/>
      <c r="R345" s="415"/>
      <c r="S345" s="415"/>
      <c r="T345" s="415"/>
      <c r="U345" s="415"/>
      <c r="V345" s="421"/>
    </row>
    <row r="346" spans="1:22">
      <c r="A346" s="416"/>
      <c r="B346" s="417"/>
      <c r="C346" s="418"/>
      <c r="D346" s="419"/>
      <c r="E346" s="419"/>
      <c r="F346" s="419"/>
      <c r="G346" s="419"/>
      <c r="H346" s="419"/>
      <c r="I346" s="419"/>
      <c r="J346" s="420"/>
      <c r="K346" s="420"/>
      <c r="L346" s="419"/>
      <c r="M346" s="419"/>
      <c r="N346" s="419"/>
      <c r="O346" s="420"/>
      <c r="P346" s="420"/>
      <c r="Q346" s="419"/>
      <c r="R346" s="420"/>
      <c r="S346" s="420"/>
      <c r="T346" s="420"/>
      <c r="U346" s="420"/>
      <c r="V346" s="421"/>
    </row>
    <row r="347" spans="1:22" ht="15" thickBot="1">
      <c r="A347" s="416"/>
      <c r="B347" s="428"/>
      <c r="C347" s="429"/>
      <c r="D347" s="430"/>
      <c r="E347" s="430"/>
      <c r="F347" s="430"/>
      <c r="G347" s="430"/>
      <c r="H347" s="430"/>
      <c r="I347" s="430"/>
      <c r="J347" s="431"/>
      <c r="K347" s="431"/>
      <c r="L347" s="430"/>
      <c r="M347" s="430"/>
      <c r="N347" s="430"/>
      <c r="O347" s="431"/>
      <c r="P347" s="431"/>
      <c r="Q347" s="430"/>
      <c r="R347" s="431"/>
      <c r="S347" s="431"/>
      <c r="T347" s="431"/>
      <c r="U347" s="431"/>
      <c r="V347" s="421"/>
    </row>
    <row r="348" spans="1:22" ht="15" thickTop="1">
      <c r="A348" s="416"/>
      <c r="B348" s="417"/>
      <c r="C348" s="418"/>
      <c r="D348" s="419"/>
      <c r="E348" s="419"/>
      <c r="F348" s="419"/>
      <c r="G348" s="419"/>
      <c r="H348" s="419"/>
      <c r="I348" s="419"/>
      <c r="J348" s="420"/>
      <c r="K348" s="420"/>
      <c r="L348" s="419"/>
      <c r="M348" s="419"/>
      <c r="N348" s="419"/>
      <c r="O348" s="420"/>
      <c r="P348" s="420"/>
      <c r="Q348" s="419"/>
      <c r="R348" s="420"/>
      <c r="S348" s="420"/>
      <c r="T348" s="420"/>
      <c r="U348" s="420"/>
      <c r="V348" s="421"/>
    </row>
    <row r="349" spans="1:22">
      <c r="A349" s="416"/>
      <c r="B349" s="417"/>
      <c r="C349" s="418"/>
      <c r="D349" s="419"/>
      <c r="E349" s="419"/>
      <c r="F349" s="419"/>
      <c r="G349" s="419"/>
      <c r="H349" s="419"/>
      <c r="I349" s="419"/>
      <c r="J349" s="420"/>
      <c r="K349" s="420"/>
      <c r="L349" s="419"/>
      <c r="M349" s="419"/>
      <c r="N349" s="419"/>
      <c r="O349" s="420"/>
      <c r="P349" s="420"/>
      <c r="Q349" s="419"/>
      <c r="R349" s="420"/>
      <c r="S349" s="420"/>
      <c r="T349" s="420"/>
      <c r="U349" s="420"/>
      <c r="V349" s="421"/>
    </row>
    <row r="350" spans="1:22">
      <c r="A350" s="416"/>
      <c r="B350" s="422"/>
      <c r="C350" s="423"/>
      <c r="D350" s="424"/>
      <c r="E350" s="424"/>
      <c r="F350" s="424"/>
      <c r="G350" s="424"/>
      <c r="H350" s="424"/>
      <c r="I350" s="424"/>
      <c r="J350" s="426"/>
      <c r="K350" s="426"/>
      <c r="L350" s="424"/>
      <c r="M350" s="424"/>
      <c r="N350" s="424"/>
      <c r="O350" s="426"/>
      <c r="P350" s="426"/>
      <c r="Q350" s="424"/>
      <c r="R350" s="426"/>
      <c r="S350" s="426"/>
      <c r="T350" s="426"/>
      <c r="U350" s="426"/>
      <c r="V350" s="421"/>
    </row>
    <row r="351" spans="1:22">
      <c r="A351" s="416"/>
      <c r="B351" s="394"/>
      <c r="C351" s="413"/>
      <c r="D351" s="414"/>
      <c r="E351" s="414"/>
      <c r="F351" s="414"/>
      <c r="G351" s="414"/>
      <c r="H351" s="414"/>
      <c r="I351" s="414"/>
      <c r="J351" s="415"/>
      <c r="K351" s="415"/>
      <c r="L351" s="414"/>
      <c r="M351" s="414"/>
      <c r="N351" s="414"/>
      <c r="O351" s="415"/>
      <c r="P351" s="415"/>
      <c r="Q351" s="414"/>
      <c r="R351" s="415"/>
      <c r="S351" s="415"/>
      <c r="T351" s="415"/>
      <c r="U351" s="415"/>
      <c r="V351" s="421"/>
    </row>
    <row r="352" spans="1:22">
      <c r="A352" s="416"/>
      <c r="B352" s="417"/>
      <c r="C352" s="418"/>
      <c r="D352" s="419"/>
      <c r="E352" s="419"/>
      <c r="F352" s="419"/>
      <c r="G352" s="419"/>
      <c r="H352" s="419"/>
      <c r="I352" s="419"/>
      <c r="J352" s="420"/>
      <c r="K352" s="420"/>
      <c r="L352" s="419"/>
      <c r="M352" s="419"/>
      <c r="N352" s="419"/>
      <c r="O352" s="420"/>
      <c r="P352" s="420"/>
      <c r="Q352" s="419"/>
      <c r="R352" s="420"/>
      <c r="S352" s="420"/>
      <c r="T352" s="420"/>
      <c r="U352" s="420"/>
      <c r="V352" s="421"/>
    </row>
    <row r="353" spans="1:22">
      <c r="A353" s="416"/>
      <c r="B353" s="422"/>
      <c r="C353" s="423"/>
      <c r="D353" s="424"/>
      <c r="E353" s="424"/>
      <c r="F353" s="424"/>
      <c r="G353" s="424"/>
      <c r="H353" s="424"/>
      <c r="I353" s="424"/>
      <c r="J353" s="426"/>
      <c r="K353" s="426"/>
      <c r="L353" s="424"/>
      <c r="M353" s="424"/>
      <c r="N353" s="424"/>
      <c r="O353" s="426"/>
      <c r="P353" s="426"/>
      <c r="Q353" s="424"/>
      <c r="R353" s="426"/>
      <c r="S353" s="426"/>
      <c r="T353" s="426"/>
      <c r="U353" s="426"/>
      <c r="V353" s="421"/>
    </row>
    <row r="354" spans="1:22">
      <c r="A354" s="416"/>
      <c r="B354" s="394"/>
      <c r="C354" s="413"/>
      <c r="D354" s="414"/>
      <c r="E354" s="414"/>
      <c r="F354" s="414"/>
      <c r="G354" s="414"/>
      <c r="H354" s="414"/>
      <c r="I354" s="414"/>
      <c r="J354" s="415"/>
      <c r="K354" s="415"/>
      <c r="L354" s="414"/>
      <c r="M354" s="414"/>
      <c r="N354" s="414"/>
      <c r="O354" s="415"/>
      <c r="P354" s="415"/>
      <c r="Q354" s="414"/>
      <c r="R354" s="415"/>
      <c r="S354" s="415"/>
      <c r="T354" s="415"/>
      <c r="U354" s="415"/>
      <c r="V354" s="421"/>
    </row>
    <row r="355" spans="1:22">
      <c r="A355" s="416"/>
      <c r="B355" s="417"/>
      <c r="C355" s="418"/>
      <c r="D355" s="419"/>
      <c r="E355" s="419"/>
      <c r="F355" s="419"/>
      <c r="G355" s="419"/>
      <c r="H355" s="419"/>
      <c r="I355" s="419"/>
      <c r="J355" s="420"/>
      <c r="K355" s="420"/>
      <c r="L355" s="419"/>
      <c r="M355" s="419"/>
      <c r="N355" s="419"/>
      <c r="O355" s="420"/>
      <c r="P355" s="420"/>
      <c r="Q355" s="419"/>
      <c r="R355" s="420"/>
      <c r="S355" s="420"/>
      <c r="T355" s="420"/>
      <c r="U355" s="420"/>
      <c r="V355" s="421"/>
    </row>
    <row r="356" spans="1:22">
      <c r="A356" s="416"/>
      <c r="B356" s="422"/>
      <c r="C356" s="423"/>
      <c r="D356" s="424"/>
      <c r="E356" s="424"/>
      <c r="F356" s="424"/>
      <c r="G356" s="424"/>
      <c r="H356" s="424"/>
      <c r="I356" s="424"/>
      <c r="J356" s="426"/>
      <c r="K356" s="426"/>
      <c r="L356" s="424"/>
      <c r="M356" s="424"/>
      <c r="N356" s="424"/>
      <c r="O356" s="426"/>
      <c r="P356" s="426"/>
      <c r="Q356" s="424"/>
      <c r="R356" s="426"/>
      <c r="S356" s="426"/>
      <c r="T356" s="426"/>
      <c r="U356" s="426"/>
      <c r="V356" s="421"/>
    </row>
    <row r="357" spans="1:22">
      <c r="A357" s="416"/>
      <c r="B357" s="394"/>
      <c r="C357" s="413"/>
      <c r="D357" s="414"/>
      <c r="E357" s="414"/>
      <c r="F357" s="414"/>
      <c r="G357" s="414"/>
      <c r="H357" s="414"/>
      <c r="I357" s="414"/>
      <c r="J357" s="415"/>
      <c r="K357" s="415"/>
      <c r="L357" s="414"/>
      <c r="M357" s="414"/>
      <c r="N357" s="414"/>
      <c r="O357" s="415"/>
      <c r="P357" s="415"/>
      <c r="Q357" s="414"/>
      <c r="R357" s="415"/>
      <c r="S357" s="415"/>
      <c r="T357" s="415"/>
      <c r="U357" s="415"/>
      <c r="V357" s="421"/>
    </row>
    <row r="358" spans="1:22">
      <c r="A358" s="416"/>
      <c r="B358" s="417"/>
      <c r="C358" s="418"/>
      <c r="D358" s="419"/>
      <c r="E358" s="419"/>
      <c r="F358" s="419"/>
      <c r="G358" s="419"/>
      <c r="H358" s="419"/>
      <c r="I358" s="419"/>
      <c r="J358" s="420"/>
      <c r="K358" s="420"/>
      <c r="L358" s="419"/>
      <c r="M358" s="419"/>
      <c r="N358" s="419"/>
      <c r="O358" s="420"/>
      <c r="P358" s="420"/>
      <c r="Q358" s="419"/>
      <c r="R358" s="420"/>
      <c r="S358" s="420"/>
      <c r="T358" s="420"/>
      <c r="U358" s="420"/>
      <c r="V358" s="421"/>
    </row>
    <row r="359" spans="1:22">
      <c r="A359" s="416"/>
      <c r="B359" s="422"/>
      <c r="C359" s="423"/>
      <c r="D359" s="424"/>
      <c r="E359" s="424"/>
      <c r="F359" s="424"/>
      <c r="G359" s="424"/>
      <c r="H359" s="424"/>
      <c r="I359" s="424"/>
      <c r="J359" s="426"/>
      <c r="K359" s="426"/>
      <c r="L359" s="424"/>
      <c r="M359" s="424"/>
      <c r="N359" s="424"/>
      <c r="O359" s="426"/>
      <c r="P359" s="426"/>
      <c r="Q359" s="424"/>
      <c r="R359" s="426"/>
      <c r="S359" s="426"/>
      <c r="T359" s="426"/>
      <c r="U359" s="426"/>
      <c r="V359" s="421"/>
    </row>
    <row r="360" spans="1:22">
      <c r="A360" s="416"/>
      <c r="B360" s="394"/>
      <c r="C360" s="413"/>
      <c r="D360" s="414"/>
      <c r="E360" s="414"/>
      <c r="F360" s="414"/>
      <c r="G360" s="414"/>
      <c r="H360" s="414"/>
      <c r="I360" s="414"/>
      <c r="J360" s="415"/>
      <c r="K360" s="415"/>
      <c r="L360" s="414"/>
      <c r="M360" s="414"/>
      <c r="N360" s="414"/>
      <c r="O360" s="415"/>
      <c r="P360" s="415"/>
      <c r="Q360" s="414"/>
      <c r="R360" s="415"/>
      <c r="S360" s="415"/>
      <c r="T360" s="415"/>
      <c r="U360" s="415"/>
      <c r="V360" s="421"/>
    </row>
    <row r="361" spans="1:22">
      <c r="A361" s="416"/>
      <c r="B361" s="417"/>
      <c r="C361" s="418"/>
      <c r="D361" s="419"/>
      <c r="E361" s="419"/>
      <c r="F361" s="419"/>
      <c r="G361" s="419"/>
      <c r="H361" s="419"/>
      <c r="I361" s="419"/>
      <c r="J361" s="420"/>
      <c r="K361" s="420"/>
      <c r="L361" s="419"/>
      <c r="M361" s="419"/>
      <c r="N361" s="419"/>
      <c r="O361" s="420"/>
      <c r="P361" s="420"/>
      <c r="Q361" s="419"/>
      <c r="R361" s="420"/>
      <c r="S361" s="420"/>
      <c r="T361" s="420"/>
      <c r="U361" s="420"/>
      <c r="V361" s="421"/>
    </row>
    <row r="362" spans="1:22">
      <c r="A362" s="416"/>
      <c r="B362" s="422"/>
      <c r="C362" s="423"/>
      <c r="D362" s="424"/>
      <c r="E362" s="424"/>
      <c r="F362" s="424"/>
      <c r="G362" s="424"/>
      <c r="H362" s="424"/>
      <c r="I362" s="424"/>
      <c r="J362" s="426"/>
      <c r="K362" s="426"/>
      <c r="L362" s="424"/>
      <c r="M362" s="424"/>
      <c r="N362" s="424"/>
      <c r="O362" s="426"/>
      <c r="P362" s="426"/>
      <c r="Q362" s="424"/>
      <c r="R362" s="426"/>
      <c r="S362" s="426"/>
      <c r="T362" s="426"/>
      <c r="U362" s="426"/>
      <c r="V362" s="421"/>
    </row>
    <row r="363" spans="1:22">
      <c r="A363" s="416"/>
      <c r="B363" s="394"/>
      <c r="C363" s="413"/>
      <c r="D363" s="414"/>
      <c r="E363" s="414"/>
      <c r="F363" s="414"/>
      <c r="G363" s="414"/>
      <c r="H363" s="414"/>
      <c r="I363" s="414"/>
      <c r="J363" s="415"/>
      <c r="K363" s="415"/>
      <c r="L363" s="414"/>
      <c r="M363" s="414"/>
      <c r="N363" s="414"/>
      <c r="O363" s="415"/>
      <c r="P363" s="415"/>
      <c r="Q363" s="414"/>
      <c r="R363" s="415"/>
      <c r="S363" s="415"/>
      <c r="T363" s="415"/>
      <c r="U363" s="415"/>
      <c r="V363" s="421"/>
    </row>
    <row r="364" spans="1:22">
      <c r="A364" s="416"/>
      <c r="B364" s="417"/>
      <c r="C364" s="418"/>
      <c r="D364" s="419"/>
      <c r="E364" s="419"/>
      <c r="F364" s="419"/>
      <c r="G364" s="419"/>
      <c r="H364" s="419"/>
      <c r="I364" s="419"/>
      <c r="J364" s="420"/>
      <c r="K364" s="420"/>
      <c r="L364" s="419"/>
      <c r="M364" s="419"/>
      <c r="N364" s="419"/>
      <c r="O364" s="420"/>
      <c r="P364" s="420"/>
      <c r="Q364" s="419"/>
      <c r="R364" s="420"/>
      <c r="S364" s="420"/>
      <c r="T364" s="420"/>
      <c r="U364" s="420"/>
      <c r="V364" s="421"/>
    </row>
    <row r="365" spans="1:22" ht="15" thickBot="1">
      <c r="A365" s="432"/>
      <c r="B365" s="433"/>
      <c r="C365" s="434"/>
      <c r="D365" s="435"/>
      <c r="E365" s="435"/>
      <c r="F365" s="435"/>
      <c r="G365" s="435"/>
      <c r="H365" s="435"/>
      <c r="I365" s="435"/>
      <c r="J365" s="436"/>
      <c r="K365" s="436"/>
      <c r="L365" s="435"/>
      <c r="M365" s="435"/>
      <c r="N365" s="435"/>
      <c r="O365" s="436"/>
      <c r="P365" s="436"/>
      <c r="Q365" s="435"/>
      <c r="R365" s="436"/>
      <c r="S365" s="436"/>
      <c r="T365" s="436"/>
      <c r="U365" s="436"/>
      <c r="V365" s="421"/>
    </row>
    <row r="366" spans="1:22">
      <c r="A366" s="412"/>
      <c r="B366" s="394"/>
      <c r="C366" s="413"/>
      <c r="D366" s="414"/>
      <c r="E366" s="414"/>
      <c r="F366" s="414"/>
      <c r="G366" s="414"/>
      <c r="H366" s="414"/>
      <c r="I366" s="414"/>
      <c r="J366" s="415"/>
      <c r="K366" s="415"/>
      <c r="L366" s="414"/>
      <c r="M366" s="414"/>
      <c r="N366" s="414"/>
      <c r="O366" s="415"/>
      <c r="P366" s="415"/>
      <c r="Q366" s="414"/>
      <c r="R366" s="415"/>
      <c r="S366" s="415"/>
      <c r="T366" s="415"/>
      <c r="U366" s="415"/>
      <c r="V366" s="421"/>
    </row>
    <row r="367" spans="1:22">
      <c r="A367" s="416"/>
      <c r="B367" s="417"/>
      <c r="C367" s="418"/>
      <c r="D367" s="419"/>
      <c r="E367" s="419"/>
      <c r="F367" s="419"/>
      <c r="G367" s="419"/>
      <c r="H367" s="419"/>
      <c r="I367" s="419"/>
      <c r="J367" s="420"/>
      <c r="K367" s="420"/>
      <c r="L367" s="419"/>
      <c r="M367" s="419"/>
      <c r="N367" s="419"/>
      <c r="O367" s="420"/>
      <c r="P367" s="420"/>
      <c r="Q367" s="419"/>
      <c r="R367" s="420"/>
      <c r="S367" s="420"/>
      <c r="T367" s="420"/>
      <c r="U367" s="420"/>
      <c r="V367" s="421"/>
    </row>
    <row r="368" spans="1:22">
      <c r="A368" s="416"/>
      <c r="B368" s="422"/>
      <c r="C368" s="423"/>
      <c r="D368" s="424"/>
      <c r="E368" s="424"/>
      <c r="F368" s="424"/>
      <c r="G368" s="424"/>
      <c r="H368" s="424"/>
      <c r="I368" s="424"/>
      <c r="J368" s="426"/>
      <c r="K368" s="426"/>
      <c r="L368" s="424"/>
      <c r="M368" s="424"/>
      <c r="N368" s="424"/>
      <c r="O368" s="426"/>
      <c r="P368" s="426"/>
      <c r="Q368" s="424"/>
      <c r="R368" s="426"/>
      <c r="S368" s="426"/>
      <c r="T368" s="426"/>
      <c r="U368" s="426"/>
      <c r="V368" s="421"/>
    </row>
    <row r="369" spans="1:22">
      <c r="A369" s="416"/>
      <c r="B369" s="394"/>
      <c r="C369" s="413"/>
      <c r="D369" s="414"/>
      <c r="E369" s="414"/>
      <c r="F369" s="414"/>
      <c r="G369" s="414"/>
      <c r="H369" s="414"/>
      <c r="I369" s="414"/>
      <c r="J369" s="415"/>
      <c r="K369" s="415"/>
      <c r="L369" s="414"/>
      <c r="M369" s="414"/>
      <c r="N369" s="414"/>
      <c r="O369" s="415"/>
      <c r="P369" s="415"/>
      <c r="Q369" s="414"/>
      <c r="R369" s="415"/>
      <c r="S369" s="415"/>
      <c r="T369" s="415"/>
      <c r="U369" s="415"/>
      <c r="V369" s="421"/>
    </row>
    <row r="370" spans="1:22">
      <c r="A370" s="416"/>
      <c r="B370" s="417"/>
      <c r="C370" s="418"/>
      <c r="D370" s="419"/>
      <c r="E370" s="419"/>
      <c r="F370" s="419"/>
      <c r="G370" s="419"/>
      <c r="H370" s="419"/>
      <c r="I370" s="419"/>
      <c r="J370" s="420"/>
      <c r="K370" s="420"/>
      <c r="L370" s="419"/>
      <c r="M370" s="419"/>
      <c r="N370" s="419"/>
      <c r="O370" s="420"/>
      <c r="P370" s="420"/>
      <c r="Q370" s="419"/>
      <c r="R370" s="420"/>
      <c r="S370" s="420"/>
      <c r="T370" s="420"/>
      <c r="U370" s="420"/>
      <c r="V370" s="421"/>
    </row>
    <row r="371" spans="1:22">
      <c r="A371" s="416"/>
      <c r="B371" s="422"/>
      <c r="C371" s="423"/>
      <c r="D371" s="424"/>
      <c r="E371" s="424"/>
      <c r="F371" s="424"/>
      <c r="G371" s="424"/>
      <c r="H371" s="424"/>
      <c r="I371" s="424"/>
      <c r="J371" s="426"/>
      <c r="K371" s="426"/>
      <c r="L371" s="424"/>
      <c r="M371" s="424"/>
      <c r="N371" s="424"/>
      <c r="O371" s="426"/>
      <c r="P371" s="426"/>
      <c r="Q371" s="424"/>
      <c r="R371" s="426"/>
      <c r="S371" s="426"/>
      <c r="T371" s="426"/>
      <c r="U371" s="426"/>
      <c r="V371" s="421"/>
    </row>
    <row r="372" spans="1:22">
      <c r="A372" s="416"/>
      <c r="B372" s="394"/>
      <c r="C372" s="413"/>
      <c r="D372" s="414"/>
      <c r="E372" s="414"/>
      <c r="F372" s="414"/>
      <c r="G372" s="414"/>
      <c r="H372" s="414"/>
      <c r="I372" s="414"/>
      <c r="J372" s="415"/>
      <c r="K372" s="415"/>
      <c r="L372" s="414"/>
      <c r="M372" s="414"/>
      <c r="N372" s="414"/>
      <c r="O372" s="415"/>
      <c r="P372" s="415"/>
      <c r="Q372" s="414"/>
      <c r="R372" s="415"/>
      <c r="S372" s="415"/>
      <c r="T372" s="415"/>
      <c r="U372" s="415"/>
      <c r="V372" s="421"/>
    </row>
    <row r="373" spans="1:22">
      <c r="A373" s="416"/>
      <c r="B373" s="417"/>
      <c r="C373" s="418"/>
      <c r="D373" s="419"/>
      <c r="E373" s="419"/>
      <c r="F373" s="419"/>
      <c r="G373" s="419"/>
      <c r="H373" s="419"/>
      <c r="I373" s="419"/>
      <c r="J373" s="420"/>
      <c r="K373" s="420"/>
      <c r="L373" s="419"/>
      <c r="M373" s="419"/>
      <c r="N373" s="419"/>
      <c r="O373" s="420"/>
      <c r="P373" s="420"/>
      <c r="Q373" s="419"/>
      <c r="R373" s="420"/>
      <c r="S373" s="420"/>
      <c r="T373" s="420"/>
      <c r="U373" s="420"/>
      <c r="V373" s="421"/>
    </row>
    <row r="374" spans="1:22">
      <c r="A374" s="416"/>
      <c r="B374" s="422"/>
      <c r="C374" s="423"/>
      <c r="D374" s="424"/>
      <c r="E374" s="424"/>
      <c r="F374" s="424"/>
      <c r="G374" s="424"/>
      <c r="H374" s="424"/>
      <c r="I374" s="424"/>
      <c r="J374" s="426"/>
      <c r="K374" s="426"/>
      <c r="L374" s="424"/>
      <c r="M374" s="424"/>
      <c r="N374" s="424"/>
      <c r="O374" s="426"/>
      <c r="P374" s="426"/>
      <c r="Q374" s="424"/>
      <c r="R374" s="426"/>
      <c r="S374" s="426"/>
      <c r="T374" s="426"/>
      <c r="U374" s="426"/>
      <c r="V374" s="421"/>
    </row>
    <row r="375" spans="1:22">
      <c r="A375" s="416"/>
      <c r="B375" s="394"/>
      <c r="C375" s="413"/>
      <c r="D375" s="414"/>
      <c r="E375" s="414"/>
      <c r="F375" s="414"/>
      <c r="G375" s="414"/>
      <c r="H375" s="414"/>
      <c r="I375" s="414"/>
      <c r="J375" s="415"/>
      <c r="K375" s="415"/>
      <c r="L375" s="414"/>
      <c r="M375" s="414"/>
      <c r="N375" s="414"/>
      <c r="O375" s="415"/>
      <c r="P375" s="415"/>
      <c r="Q375" s="414"/>
      <c r="R375" s="415"/>
      <c r="S375" s="415"/>
      <c r="T375" s="415"/>
      <c r="U375" s="415"/>
      <c r="V375" s="421"/>
    </row>
    <row r="376" spans="1:22">
      <c r="A376" s="416"/>
      <c r="B376" s="417"/>
      <c r="C376" s="418"/>
      <c r="D376" s="419"/>
      <c r="E376" s="419"/>
      <c r="F376" s="419"/>
      <c r="G376" s="419"/>
      <c r="H376" s="419"/>
      <c r="I376" s="419"/>
      <c r="J376" s="420"/>
      <c r="K376" s="420"/>
      <c r="L376" s="419"/>
      <c r="M376" s="419"/>
      <c r="N376" s="419"/>
      <c r="O376" s="420"/>
      <c r="P376" s="420"/>
      <c r="Q376" s="419"/>
      <c r="R376" s="420"/>
      <c r="S376" s="420"/>
      <c r="T376" s="420"/>
      <c r="U376" s="420"/>
      <c r="V376" s="421"/>
    </row>
    <row r="377" spans="1:22">
      <c r="A377" s="416"/>
      <c r="B377" s="422"/>
      <c r="C377" s="423"/>
      <c r="D377" s="424"/>
      <c r="E377" s="424"/>
      <c r="F377" s="424"/>
      <c r="G377" s="424"/>
      <c r="H377" s="424"/>
      <c r="I377" s="424"/>
      <c r="J377" s="426"/>
      <c r="K377" s="426"/>
      <c r="L377" s="424"/>
      <c r="M377" s="424"/>
      <c r="N377" s="424"/>
      <c r="O377" s="426"/>
      <c r="P377" s="426"/>
      <c r="Q377" s="424"/>
      <c r="R377" s="426"/>
      <c r="S377" s="426"/>
      <c r="T377" s="426"/>
      <c r="U377" s="426"/>
      <c r="V377" s="421"/>
    </row>
    <row r="378" spans="1:22">
      <c r="A378" s="416"/>
      <c r="B378" s="394"/>
      <c r="C378" s="413"/>
      <c r="D378" s="414"/>
      <c r="E378" s="414"/>
      <c r="F378" s="414"/>
      <c r="G378" s="414"/>
      <c r="H378" s="414"/>
      <c r="I378" s="414"/>
      <c r="J378" s="415"/>
      <c r="K378" s="415"/>
      <c r="L378" s="414"/>
      <c r="M378" s="414"/>
      <c r="N378" s="414"/>
      <c r="O378" s="415"/>
      <c r="P378" s="415"/>
      <c r="Q378" s="414"/>
      <c r="R378" s="415"/>
      <c r="S378" s="415"/>
      <c r="T378" s="415"/>
      <c r="U378" s="415"/>
      <c r="V378" s="421"/>
    </row>
    <row r="379" spans="1:22">
      <c r="A379" s="416"/>
      <c r="B379" s="417"/>
      <c r="C379" s="418"/>
      <c r="D379" s="419"/>
      <c r="E379" s="419"/>
      <c r="F379" s="419"/>
      <c r="G379" s="419"/>
      <c r="H379" s="419"/>
      <c r="I379" s="419"/>
      <c r="J379" s="420"/>
      <c r="K379" s="420"/>
      <c r="L379" s="419"/>
      <c r="M379" s="419"/>
      <c r="N379" s="419"/>
      <c r="O379" s="420"/>
      <c r="P379" s="420"/>
      <c r="Q379" s="419"/>
      <c r="R379" s="420"/>
      <c r="S379" s="420"/>
      <c r="T379" s="420"/>
      <c r="U379" s="420"/>
      <c r="V379" s="421"/>
    </row>
    <row r="380" spans="1:22">
      <c r="A380" s="416"/>
      <c r="B380" s="422"/>
      <c r="C380" s="423"/>
      <c r="D380" s="424"/>
      <c r="E380" s="424"/>
      <c r="F380" s="424"/>
      <c r="G380" s="424"/>
      <c r="H380" s="424"/>
      <c r="I380" s="424"/>
      <c r="J380" s="426"/>
      <c r="K380" s="426"/>
      <c r="L380" s="424"/>
      <c r="M380" s="424"/>
      <c r="N380" s="424"/>
      <c r="O380" s="426"/>
      <c r="P380" s="426"/>
      <c r="Q380" s="424"/>
      <c r="R380" s="426"/>
      <c r="S380" s="426"/>
      <c r="T380" s="426"/>
      <c r="U380" s="426"/>
      <c r="V380" s="421"/>
    </row>
    <row r="381" spans="1:22">
      <c r="A381" s="416"/>
      <c r="B381" s="394"/>
      <c r="C381" s="413"/>
      <c r="D381" s="414"/>
      <c r="E381" s="414"/>
      <c r="F381" s="414"/>
      <c r="G381" s="414"/>
      <c r="H381" s="414"/>
      <c r="I381" s="414"/>
      <c r="J381" s="415"/>
      <c r="K381" s="415"/>
      <c r="L381" s="414"/>
      <c r="M381" s="414"/>
      <c r="N381" s="414"/>
      <c r="O381" s="415"/>
      <c r="P381" s="415"/>
      <c r="Q381" s="414"/>
      <c r="R381" s="415"/>
      <c r="S381" s="415"/>
      <c r="T381" s="415"/>
      <c r="U381" s="415"/>
      <c r="V381" s="421"/>
    </row>
    <row r="382" spans="1:22">
      <c r="A382" s="416"/>
      <c r="B382" s="417"/>
      <c r="C382" s="418"/>
      <c r="D382" s="419"/>
      <c r="E382" s="419"/>
      <c r="F382" s="419"/>
      <c r="G382" s="419"/>
      <c r="H382" s="419"/>
      <c r="I382" s="419"/>
      <c r="J382" s="420"/>
      <c r="K382" s="420"/>
      <c r="L382" s="419"/>
      <c r="M382" s="419"/>
      <c r="N382" s="419"/>
      <c r="O382" s="420"/>
      <c r="P382" s="420"/>
      <c r="Q382" s="419"/>
      <c r="R382" s="420"/>
      <c r="S382" s="420"/>
      <c r="T382" s="420"/>
      <c r="U382" s="420"/>
      <c r="V382" s="421"/>
    </row>
    <row r="383" spans="1:22" ht="15" thickBot="1">
      <c r="A383" s="416"/>
      <c r="B383" s="428"/>
      <c r="C383" s="429"/>
      <c r="D383" s="430"/>
      <c r="E383" s="430"/>
      <c r="F383" s="430"/>
      <c r="G383" s="430"/>
      <c r="H383" s="430"/>
      <c r="I383" s="430"/>
      <c r="J383" s="431"/>
      <c r="K383" s="431"/>
      <c r="L383" s="430"/>
      <c r="M383" s="430"/>
      <c r="N383" s="430"/>
      <c r="O383" s="431"/>
      <c r="P383" s="431"/>
      <c r="Q383" s="430"/>
      <c r="R383" s="431"/>
      <c r="S383" s="431"/>
      <c r="T383" s="431"/>
      <c r="U383" s="431"/>
      <c r="V383" s="421"/>
    </row>
    <row r="384" spans="1:22" ht="15" thickTop="1">
      <c r="A384" s="416"/>
      <c r="B384" s="417"/>
      <c r="C384" s="418"/>
      <c r="D384" s="419"/>
      <c r="E384" s="419"/>
      <c r="F384" s="419"/>
      <c r="G384" s="419"/>
      <c r="H384" s="419"/>
      <c r="I384" s="419"/>
      <c r="J384" s="420"/>
      <c r="K384" s="420"/>
      <c r="L384" s="419"/>
      <c r="M384" s="419"/>
      <c r="N384" s="419"/>
      <c r="O384" s="420"/>
      <c r="P384" s="420"/>
      <c r="Q384" s="419"/>
      <c r="R384" s="420"/>
      <c r="S384" s="420"/>
      <c r="T384" s="420"/>
      <c r="U384" s="420"/>
      <c r="V384" s="421"/>
    </row>
    <row r="385" spans="1:22">
      <c r="A385" s="416"/>
      <c r="B385" s="417"/>
      <c r="C385" s="418"/>
      <c r="D385" s="419"/>
      <c r="E385" s="419"/>
      <c r="F385" s="419"/>
      <c r="G385" s="419"/>
      <c r="H385" s="419"/>
      <c r="I385" s="419"/>
      <c r="J385" s="420"/>
      <c r="K385" s="420"/>
      <c r="L385" s="419"/>
      <c r="M385" s="419"/>
      <c r="N385" s="419"/>
      <c r="O385" s="420"/>
      <c r="P385" s="420"/>
      <c r="Q385" s="419"/>
      <c r="R385" s="420"/>
      <c r="S385" s="420"/>
      <c r="T385" s="420"/>
      <c r="U385" s="420"/>
      <c r="V385" s="421"/>
    </row>
    <row r="386" spans="1:22">
      <c r="A386" s="416"/>
      <c r="B386" s="422"/>
      <c r="C386" s="423"/>
      <c r="D386" s="424"/>
      <c r="E386" s="424"/>
      <c r="F386" s="424"/>
      <c r="G386" s="424"/>
      <c r="H386" s="424"/>
      <c r="I386" s="424"/>
      <c r="J386" s="426"/>
      <c r="K386" s="426"/>
      <c r="L386" s="424"/>
      <c r="M386" s="424"/>
      <c r="N386" s="424"/>
      <c r="O386" s="426"/>
      <c r="P386" s="426"/>
      <c r="Q386" s="424"/>
      <c r="R386" s="426"/>
      <c r="S386" s="426"/>
      <c r="T386" s="426"/>
      <c r="U386" s="426"/>
      <c r="V386" s="421"/>
    </row>
    <row r="387" spans="1:22">
      <c r="A387" s="416"/>
      <c r="B387" s="394"/>
      <c r="C387" s="413"/>
      <c r="D387" s="414"/>
      <c r="E387" s="414"/>
      <c r="F387" s="414"/>
      <c r="G387" s="414"/>
      <c r="H387" s="414"/>
      <c r="I387" s="414"/>
      <c r="J387" s="415"/>
      <c r="K387" s="415"/>
      <c r="L387" s="414"/>
      <c r="M387" s="414"/>
      <c r="N387" s="414"/>
      <c r="O387" s="415"/>
      <c r="P387" s="415"/>
      <c r="Q387" s="414"/>
      <c r="R387" s="415"/>
      <c r="S387" s="415"/>
      <c r="T387" s="415"/>
      <c r="U387" s="415"/>
      <c r="V387" s="421"/>
    </row>
    <row r="388" spans="1:22">
      <c r="A388" s="416"/>
      <c r="B388" s="417"/>
      <c r="C388" s="418"/>
      <c r="D388" s="419"/>
      <c r="E388" s="419"/>
      <c r="F388" s="419"/>
      <c r="G388" s="419"/>
      <c r="H388" s="419"/>
      <c r="I388" s="419"/>
      <c r="J388" s="420"/>
      <c r="K388" s="420"/>
      <c r="L388" s="419"/>
      <c r="M388" s="419"/>
      <c r="N388" s="419"/>
      <c r="O388" s="420"/>
      <c r="P388" s="420"/>
      <c r="Q388" s="419"/>
      <c r="R388" s="420"/>
      <c r="S388" s="420"/>
      <c r="T388" s="420"/>
      <c r="U388" s="420"/>
      <c r="V388" s="421"/>
    </row>
    <row r="389" spans="1:22">
      <c r="A389" s="416"/>
      <c r="B389" s="422"/>
      <c r="C389" s="423"/>
      <c r="D389" s="424"/>
      <c r="E389" s="424"/>
      <c r="F389" s="424"/>
      <c r="G389" s="424"/>
      <c r="H389" s="424"/>
      <c r="I389" s="424"/>
      <c r="J389" s="426"/>
      <c r="K389" s="426"/>
      <c r="L389" s="424"/>
      <c r="M389" s="424"/>
      <c r="N389" s="424"/>
      <c r="O389" s="426"/>
      <c r="P389" s="426"/>
      <c r="Q389" s="424"/>
      <c r="R389" s="426"/>
      <c r="S389" s="426"/>
      <c r="T389" s="426"/>
      <c r="U389" s="426"/>
      <c r="V389" s="421"/>
    </row>
    <row r="390" spans="1:22">
      <c r="A390" s="416"/>
      <c r="B390" s="394"/>
      <c r="C390" s="413"/>
      <c r="D390" s="414"/>
      <c r="E390" s="414"/>
      <c r="F390" s="414"/>
      <c r="G390" s="414"/>
      <c r="H390" s="414"/>
      <c r="I390" s="414"/>
      <c r="J390" s="415"/>
      <c r="K390" s="415"/>
      <c r="L390" s="414"/>
      <c r="M390" s="414"/>
      <c r="N390" s="414"/>
      <c r="O390" s="415"/>
      <c r="P390" s="415"/>
      <c r="Q390" s="414"/>
      <c r="R390" s="415"/>
      <c r="S390" s="415"/>
      <c r="T390" s="415"/>
      <c r="U390" s="415"/>
      <c r="V390" s="421"/>
    </row>
    <row r="391" spans="1:22">
      <c r="A391" s="416"/>
      <c r="B391" s="417"/>
      <c r="C391" s="418"/>
      <c r="D391" s="419"/>
      <c r="E391" s="419"/>
      <c r="F391" s="419"/>
      <c r="G391" s="419"/>
      <c r="H391" s="419"/>
      <c r="I391" s="419"/>
      <c r="J391" s="420"/>
      <c r="K391" s="420"/>
      <c r="L391" s="419"/>
      <c r="M391" s="419"/>
      <c r="N391" s="419"/>
      <c r="O391" s="420"/>
      <c r="P391" s="420"/>
      <c r="Q391" s="419"/>
      <c r="R391" s="420"/>
      <c r="S391" s="420"/>
      <c r="T391" s="420"/>
      <c r="U391" s="420"/>
      <c r="V391" s="421"/>
    </row>
    <row r="392" spans="1:22">
      <c r="A392" s="416"/>
      <c r="B392" s="422"/>
      <c r="C392" s="423"/>
      <c r="D392" s="424"/>
      <c r="E392" s="424"/>
      <c r="F392" s="424"/>
      <c r="G392" s="424"/>
      <c r="H392" s="424"/>
      <c r="I392" s="424"/>
      <c r="J392" s="426"/>
      <c r="K392" s="426"/>
      <c r="L392" s="424"/>
      <c r="M392" s="424"/>
      <c r="N392" s="424"/>
      <c r="O392" s="426"/>
      <c r="P392" s="426"/>
      <c r="Q392" s="424"/>
      <c r="R392" s="426"/>
      <c r="S392" s="426"/>
      <c r="T392" s="426"/>
      <c r="U392" s="426"/>
      <c r="V392" s="421"/>
    </row>
    <row r="393" spans="1:22">
      <c r="A393" s="416"/>
      <c r="B393" s="394"/>
      <c r="C393" s="413"/>
      <c r="D393" s="414"/>
      <c r="E393" s="414"/>
      <c r="F393" s="414"/>
      <c r="G393" s="414"/>
      <c r="H393" s="414"/>
      <c r="I393" s="414"/>
      <c r="J393" s="415"/>
      <c r="K393" s="415"/>
      <c r="L393" s="414"/>
      <c r="M393" s="414"/>
      <c r="N393" s="414"/>
      <c r="O393" s="415"/>
      <c r="P393" s="415"/>
      <c r="Q393" s="414"/>
      <c r="R393" s="415"/>
      <c r="S393" s="415"/>
      <c r="T393" s="415"/>
      <c r="U393" s="415"/>
      <c r="V393" s="421"/>
    </row>
    <row r="394" spans="1:22">
      <c r="A394" s="416"/>
      <c r="B394" s="417"/>
      <c r="C394" s="418"/>
      <c r="D394" s="419"/>
      <c r="E394" s="419"/>
      <c r="F394" s="419"/>
      <c r="G394" s="419"/>
      <c r="H394" s="419"/>
      <c r="I394" s="419"/>
      <c r="J394" s="420"/>
      <c r="K394" s="420"/>
      <c r="L394" s="419"/>
      <c r="M394" s="419"/>
      <c r="N394" s="419"/>
      <c r="O394" s="420"/>
      <c r="P394" s="420"/>
      <c r="Q394" s="419"/>
      <c r="R394" s="420"/>
      <c r="S394" s="420"/>
      <c r="T394" s="420"/>
      <c r="U394" s="420"/>
      <c r="V394" s="421"/>
    </row>
    <row r="395" spans="1:22">
      <c r="A395" s="416"/>
      <c r="B395" s="422"/>
      <c r="C395" s="423"/>
      <c r="D395" s="424"/>
      <c r="E395" s="424"/>
      <c r="F395" s="424"/>
      <c r="G395" s="424"/>
      <c r="H395" s="424"/>
      <c r="I395" s="424"/>
      <c r="J395" s="426"/>
      <c r="K395" s="426"/>
      <c r="L395" s="424"/>
      <c r="M395" s="424"/>
      <c r="N395" s="424"/>
      <c r="O395" s="426"/>
      <c r="P395" s="426"/>
      <c r="Q395" s="424"/>
      <c r="R395" s="426"/>
      <c r="S395" s="426"/>
      <c r="T395" s="426"/>
      <c r="U395" s="426"/>
      <c r="V395" s="421"/>
    </row>
    <row r="396" spans="1:22">
      <c r="A396" s="416"/>
      <c r="B396" s="394"/>
      <c r="C396" s="413"/>
      <c r="D396" s="414"/>
      <c r="E396" s="414"/>
      <c r="F396" s="414"/>
      <c r="G396" s="414"/>
      <c r="H396" s="414"/>
      <c r="I396" s="414"/>
      <c r="J396" s="415"/>
      <c r="K396" s="415"/>
      <c r="L396" s="414"/>
      <c r="M396" s="414"/>
      <c r="N396" s="414"/>
      <c r="O396" s="415"/>
      <c r="P396" s="415"/>
      <c r="Q396" s="414"/>
      <c r="R396" s="415"/>
      <c r="S396" s="415"/>
      <c r="T396" s="415"/>
      <c r="U396" s="415"/>
      <c r="V396" s="421"/>
    </row>
    <row r="397" spans="1:22">
      <c r="A397" s="416"/>
      <c r="B397" s="417"/>
      <c r="C397" s="418"/>
      <c r="D397" s="419"/>
      <c r="E397" s="419"/>
      <c r="F397" s="419"/>
      <c r="G397" s="419"/>
      <c r="H397" s="419"/>
      <c r="I397" s="419"/>
      <c r="J397" s="420"/>
      <c r="K397" s="420"/>
      <c r="L397" s="419"/>
      <c r="M397" s="419"/>
      <c r="N397" s="419"/>
      <c r="O397" s="420"/>
      <c r="P397" s="420"/>
      <c r="Q397" s="419"/>
      <c r="R397" s="420"/>
      <c r="S397" s="420"/>
      <c r="T397" s="420"/>
      <c r="U397" s="420"/>
      <c r="V397" s="421"/>
    </row>
    <row r="398" spans="1:22">
      <c r="A398" s="416"/>
      <c r="B398" s="422"/>
      <c r="C398" s="423"/>
      <c r="D398" s="424"/>
      <c r="E398" s="424"/>
      <c r="F398" s="424"/>
      <c r="G398" s="424"/>
      <c r="H398" s="424"/>
      <c r="I398" s="424"/>
      <c r="J398" s="426"/>
      <c r="K398" s="426"/>
      <c r="L398" s="424"/>
      <c r="M398" s="424"/>
      <c r="N398" s="424"/>
      <c r="O398" s="426"/>
      <c r="P398" s="426"/>
      <c r="Q398" s="424"/>
      <c r="R398" s="426"/>
      <c r="S398" s="426"/>
      <c r="T398" s="426"/>
      <c r="U398" s="426"/>
      <c r="V398" s="421"/>
    </row>
    <row r="399" spans="1:22">
      <c r="A399" s="416"/>
      <c r="B399" s="394"/>
      <c r="C399" s="413"/>
      <c r="D399" s="414"/>
      <c r="E399" s="414"/>
      <c r="F399" s="414"/>
      <c r="G399" s="414"/>
      <c r="H399" s="414"/>
      <c r="I399" s="414"/>
      <c r="J399" s="415"/>
      <c r="K399" s="415"/>
      <c r="L399" s="414"/>
      <c r="M399" s="414"/>
      <c r="N399" s="414"/>
      <c r="O399" s="415"/>
      <c r="P399" s="415"/>
      <c r="Q399" s="414"/>
      <c r="R399" s="415"/>
      <c r="S399" s="415"/>
      <c r="T399" s="415"/>
      <c r="U399" s="415"/>
      <c r="V399" s="421"/>
    </row>
    <row r="400" spans="1:22">
      <c r="A400" s="416"/>
      <c r="B400" s="417"/>
      <c r="C400" s="418"/>
      <c r="D400" s="419"/>
      <c r="E400" s="419"/>
      <c r="F400" s="419"/>
      <c r="G400" s="419"/>
      <c r="H400" s="419"/>
      <c r="I400" s="419"/>
      <c r="J400" s="420"/>
      <c r="K400" s="420"/>
      <c r="L400" s="419"/>
      <c r="M400" s="419"/>
      <c r="N400" s="419"/>
      <c r="O400" s="420"/>
      <c r="P400" s="420"/>
      <c r="Q400" s="419"/>
      <c r="R400" s="420"/>
      <c r="S400" s="420"/>
      <c r="T400" s="420"/>
      <c r="U400" s="420"/>
      <c r="V400" s="421"/>
    </row>
    <row r="401" spans="1:22" ht="15" thickBot="1">
      <c r="A401" s="432"/>
      <c r="B401" s="433"/>
      <c r="C401" s="434"/>
      <c r="D401" s="435"/>
      <c r="E401" s="435"/>
      <c r="F401" s="435"/>
      <c r="G401" s="435"/>
      <c r="H401" s="435"/>
      <c r="I401" s="435"/>
      <c r="J401" s="436"/>
      <c r="K401" s="436"/>
      <c r="L401" s="435"/>
      <c r="M401" s="435"/>
      <c r="N401" s="435"/>
      <c r="O401" s="436"/>
      <c r="P401" s="436"/>
      <c r="Q401" s="435"/>
      <c r="R401" s="436"/>
      <c r="S401" s="436"/>
      <c r="T401" s="436"/>
      <c r="U401" s="436"/>
      <c r="V401" s="421"/>
    </row>
    <row r="402" spans="1:22">
      <c r="A402" s="412"/>
      <c r="B402" s="394"/>
      <c r="C402" s="413"/>
      <c r="D402" s="414"/>
      <c r="E402" s="414"/>
      <c r="F402" s="414"/>
      <c r="G402" s="414"/>
      <c r="H402" s="414"/>
      <c r="I402" s="414"/>
      <c r="J402" s="415"/>
      <c r="K402" s="415"/>
      <c r="L402" s="414"/>
      <c r="M402" s="414"/>
      <c r="N402" s="414"/>
      <c r="O402" s="415"/>
      <c r="P402" s="415"/>
      <c r="Q402" s="414"/>
      <c r="R402" s="415"/>
      <c r="S402" s="415"/>
      <c r="T402" s="415"/>
      <c r="U402" s="415"/>
      <c r="V402" s="421"/>
    </row>
    <row r="403" spans="1:22">
      <c r="A403" s="416"/>
      <c r="B403" s="417"/>
      <c r="C403" s="418"/>
      <c r="D403" s="419"/>
      <c r="E403" s="419"/>
      <c r="F403" s="419"/>
      <c r="G403" s="419"/>
      <c r="H403" s="419"/>
      <c r="I403" s="419"/>
      <c r="J403" s="420"/>
      <c r="K403" s="420"/>
      <c r="L403" s="419"/>
      <c r="M403" s="419"/>
      <c r="N403" s="419"/>
      <c r="O403" s="420"/>
      <c r="P403" s="420"/>
      <c r="Q403" s="419"/>
      <c r="R403" s="420"/>
      <c r="S403" s="420"/>
      <c r="T403" s="420"/>
      <c r="U403" s="420"/>
      <c r="V403" s="421"/>
    </row>
    <row r="404" spans="1:22">
      <c r="A404" s="416"/>
      <c r="B404" s="422"/>
      <c r="C404" s="423"/>
      <c r="D404" s="424"/>
      <c r="E404" s="424"/>
      <c r="F404" s="424"/>
      <c r="G404" s="424"/>
      <c r="H404" s="424"/>
      <c r="I404" s="424"/>
      <c r="J404" s="426"/>
      <c r="K404" s="426"/>
      <c r="L404" s="424"/>
      <c r="M404" s="424"/>
      <c r="N404" s="424"/>
      <c r="O404" s="426"/>
      <c r="P404" s="426"/>
      <c r="Q404" s="424"/>
      <c r="R404" s="426"/>
      <c r="S404" s="426"/>
      <c r="T404" s="426"/>
      <c r="U404" s="426"/>
      <c r="V404" s="421"/>
    </row>
    <row r="405" spans="1:22">
      <c r="A405" s="416"/>
      <c r="B405" s="394"/>
      <c r="C405" s="413"/>
      <c r="D405" s="414"/>
      <c r="E405" s="414"/>
      <c r="F405" s="414"/>
      <c r="G405" s="414"/>
      <c r="H405" s="414"/>
      <c r="I405" s="414"/>
      <c r="J405" s="415"/>
      <c r="K405" s="415"/>
      <c r="L405" s="414"/>
      <c r="M405" s="414"/>
      <c r="N405" s="414"/>
      <c r="O405" s="415"/>
      <c r="P405" s="415"/>
      <c r="Q405" s="414"/>
      <c r="R405" s="415"/>
      <c r="S405" s="415"/>
      <c r="T405" s="415"/>
      <c r="U405" s="415"/>
      <c r="V405" s="421"/>
    </row>
    <row r="406" spans="1:22">
      <c r="A406" s="416"/>
      <c r="B406" s="417"/>
      <c r="C406" s="418"/>
      <c r="D406" s="419"/>
      <c r="E406" s="419"/>
      <c r="F406" s="419"/>
      <c r="G406" s="419"/>
      <c r="H406" s="419"/>
      <c r="I406" s="419"/>
      <c r="J406" s="420"/>
      <c r="K406" s="420"/>
      <c r="L406" s="419"/>
      <c r="M406" s="419"/>
      <c r="N406" s="419"/>
      <c r="O406" s="420"/>
      <c r="P406" s="420"/>
      <c r="Q406" s="419"/>
      <c r="R406" s="420"/>
      <c r="S406" s="420"/>
      <c r="T406" s="420"/>
      <c r="U406" s="420"/>
      <c r="V406" s="421"/>
    </row>
    <row r="407" spans="1:22">
      <c r="A407" s="416"/>
      <c r="B407" s="422"/>
      <c r="C407" s="423"/>
      <c r="D407" s="424"/>
      <c r="E407" s="424"/>
      <c r="F407" s="424"/>
      <c r="G407" s="424"/>
      <c r="H407" s="424"/>
      <c r="I407" s="424"/>
      <c r="J407" s="426"/>
      <c r="K407" s="426"/>
      <c r="L407" s="424"/>
      <c r="M407" s="424"/>
      <c r="N407" s="424"/>
      <c r="O407" s="426"/>
      <c r="P407" s="426"/>
      <c r="Q407" s="424"/>
      <c r="R407" s="426"/>
      <c r="S407" s="426"/>
      <c r="T407" s="426"/>
      <c r="U407" s="426"/>
      <c r="V407" s="421"/>
    </row>
    <row r="408" spans="1:22">
      <c r="A408" s="416"/>
      <c r="B408" s="394"/>
      <c r="C408" s="413"/>
      <c r="D408" s="414"/>
      <c r="E408" s="414"/>
      <c r="F408" s="414"/>
      <c r="G408" s="414"/>
      <c r="H408" s="414"/>
      <c r="I408" s="414"/>
      <c r="J408" s="415"/>
      <c r="K408" s="415"/>
      <c r="L408" s="414"/>
      <c r="M408" s="414"/>
      <c r="N408" s="414"/>
      <c r="O408" s="415"/>
      <c r="P408" s="415"/>
      <c r="Q408" s="414"/>
      <c r="R408" s="415"/>
      <c r="S408" s="415"/>
      <c r="T408" s="415"/>
      <c r="U408" s="415"/>
      <c r="V408" s="421"/>
    </row>
    <row r="409" spans="1:22">
      <c r="A409" s="416"/>
      <c r="B409" s="417"/>
      <c r="C409" s="418"/>
      <c r="D409" s="419"/>
      <c r="E409" s="419"/>
      <c r="F409" s="419"/>
      <c r="G409" s="419"/>
      <c r="H409" s="419"/>
      <c r="I409" s="419"/>
      <c r="J409" s="420"/>
      <c r="K409" s="420"/>
      <c r="L409" s="419"/>
      <c r="M409" s="419"/>
      <c r="N409" s="419"/>
      <c r="O409" s="420"/>
      <c r="P409" s="420"/>
      <c r="Q409" s="419"/>
      <c r="R409" s="420"/>
      <c r="S409" s="420"/>
      <c r="T409" s="420"/>
      <c r="U409" s="420"/>
      <c r="V409" s="421"/>
    </row>
    <row r="410" spans="1:22">
      <c r="A410" s="416"/>
      <c r="B410" s="422"/>
      <c r="C410" s="423"/>
      <c r="D410" s="424"/>
      <c r="E410" s="424"/>
      <c r="F410" s="424"/>
      <c r="G410" s="424"/>
      <c r="H410" s="424"/>
      <c r="I410" s="424"/>
      <c r="J410" s="426"/>
      <c r="K410" s="426"/>
      <c r="L410" s="424"/>
      <c r="M410" s="424"/>
      <c r="N410" s="424"/>
      <c r="O410" s="426"/>
      <c r="P410" s="426"/>
      <c r="Q410" s="424"/>
      <c r="R410" s="426"/>
      <c r="S410" s="426"/>
      <c r="T410" s="426"/>
      <c r="U410" s="426"/>
      <c r="V410" s="421"/>
    </row>
    <row r="411" spans="1:22">
      <c r="A411" s="416"/>
      <c r="B411" s="394"/>
      <c r="C411" s="413"/>
      <c r="D411" s="414"/>
      <c r="E411" s="414"/>
      <c r="F411" s="414"/>
      <c r="G411" s="414"/>
      <c r="H411" s="414"/>
      <c r="I411" s="414"/>
      <c r="J411" s="415"/>
      <c r="K411" s="415"/>
      <c r="L411" s="414"/>
      <c r="M411" s="414"/>
      <c r="N411" s="414"/>
      <c r="O411" s="415"/>
      <c r="P411" s="415"/>
      <c r="Q411" s="414"/>
      <c r="R411" s="415"/>
      <c r="S411" s="415"/>
      <c r="T411" s="415"/>
      <c r="U411" s="415"/>
      <c r="V411" s="421"/>
    </row>
    <row r="412" spans="1:22">
      <c r="A412" s="416"/>
      <c r="B412" s="417"/>
      <c r="C412" s="418"/>
      <c r="D412" s="419"/>
      <c r="E412" s="419"/>
      <c r="F412" s="419"/>
      <c r="G412" s="419"/>
      <c r="H412" s="419"/>
      <c r="I412" s="419"/>
      <c r="J412" s="420"/>
      <c r="K412" s="420"/>
      <c r="L412" s="419"/>
      <c r="M412" s="419"/>
      <c r="N412" s="419"/>
      <c r="O412" s="420"/>
      <c r="P412" s="420"/>
      <c r="Q412" s="419"/>
      <c r="R412" s="420"/>
      <c r="S412" s="420"/>
      <c r="T412" s="420"/>
      <c r="U412" s="420"/>
      <c r="V412" s="421"/>
    </row>
    <row r="413" spans="1:22">
      <c r="A413" s="416"/>
      <c r="B413" s="422"/>
      <c r="C413" s="423"/>
      <c r="D413" s="424"/>
      <c r="E413" s="424"/>
      <c r="F413" s="424"/>
      <c r="G413" s="424"/>
      <c r="H413" s="424"/>
      <c r="I413" s="424"/>
      <c r="J413" s="426"/>
      <c r="K413" s="426"/>
      <c r="L413" s="424"/>
      <c r="M413" s="424"/>
      <c r="N413" s="424"/>
      <c r="O413" s="426"/>
      <c r="P413" s="426"/>
      <c r="Q413" s="424"/>
      <c r="R413" s="426"/>
      <c r="S413" s="426"/>
      <c r="T413" s="426"/>
      <c r="U413" s="426"/>
      <c r="V413" s="421"/>
    </row>
    <row r="414" spans="1:22">
      <c r="A414" s="416"/>
      <c r="B414" s="394"/>
      <c r="C414" s="413"/>
      <c r="D414" s="414"/>
      <c r="E414" s="414"/>
      <c r="F414" s="414"/>
      <c r="G414" s="414"/>
      <c r="H414" s="414"/>
      <c r="I414" s="414"/>
      <c r="J414" s="415"/>
      <c r="K414" s="415"/>
      <c r="L414" s="414"/>
      <c r="M414" s="414"/>
      <c r="N414" s="414"/>
      <c r="O414" s="415"/>
      <c r="P414" s="415"/>
      <c r="Q414" s="414"/>
      <c r="R414" s="415"/>
      <c r="S414" s="415"/>
      <c r="T414" s="415"/>
      <c r="U414" s="415"/>
      <c r="V414" s="421"/>
    </row>
    <row r="415" spans="1:22">
      <c r="A415" s="416"/>
      <c r="B415" s="417"/>
      <c r="C415" s="418"/>
      <c r="D415" s="419"/>
      <c r="E415" s="419"/>
      <c r="F415" s="419"/>
      <c r="G415" s="419"/>
      <c r="H415" s="419"/>
      <c r="I415" s="419"/>
      <c r="J415" s="420"/>
      <c r="K415" s="420"/>
      <c r="L415" s="419"/>
      <c r="M415" s="419"/>
      <c r="N415" s="419"/>
      <c r="O415" s="420"/>
      <c r="P415" s="420"/>
      <c r="Q415" s="419"/>
      <c r="R415" s="420"/>
      <c r="S415" s="420"/>
      <c r="T415" s="420"/>
      <c r="U415" s="420"/>
      <c r="V415" s="421"/>
    </row>
    <row r="416" spans="1:22">
      <c r="A416" s="416"/>
      <c r="B416" s="422"/>
      <c r="C416" s="423"/>
      <c r="D416" s="424"/>
      <c r="E416" s="424"/>
      <c r="F416" s="424"/>
      <c r="G416" s="424"/>
      <c r="H416" s="424"/>
      <c r="I416" s="424"/>
      <c r="J416" s="426"/>
      <c r="K416" s="426"/>
      <c r="L416" s="424"/>
      <c r="M416" s="424"/>
      <c r="N416" s="424"/>
      <c r="O416" s="426"/>
      <c r="P416" s="426"/>
      <c r="Q416" s="424"/>
      <c r="R416" s="426"/>
      <c r="S416" s="426"/>
      <c r="T416" s="426"/>
      <c r="U416" s="426"/>
      <c r="V416" s="421"/>
    </row>
    <row r="417" spans="1:22">
      <c r="A417" s="416"/>
      <c r="B417" s="394"/>
      <c r="C417" s="413"/>
      <c r="D417" s="414"/>
      <c r="E417" s="414"/>
      <c r="F417" s="414"/>
      <c r="G417" s="414"/>
      <c r="H417" s="414"/>
      <c r="I417" s="414"/>
      <c r="J417" s="415"/>
      <c r="K417" s="415"/>
      <c r="L417" s="414"/>
      <c r="M417" s="414"/>
      <c r="N417" s="414"/>
      <c r="O417" s="415"/>
      <c r="P417" s="415"/>
      <c r="Q417" s="414"/>
      <c r="R417" s="415"/>
      <c r="S417" s="415"/>
      <c r="T417" s="415"/>
      <c r="U417" s="415"/>
      <c r="V417" s="421"/>
    </row>
    <row r="418" spans="1:22">
      <c r="A418" s="416"/>
      <c r="B418" s="417"/>
      <c r="C418" s="418"/>
      <c r="D418" s="419"/>
      <c r="E418" s="419"/>
      <c r="F418" s="419"/>
      <c r="G418" s="419"/>
      <c r="H418" s="419"/>
      <c r="I418" s="419"/>
      <c r="J418" s="420"/>
      <c r="K418" s="420"/>
      <c r="L418" s="419"/>
      <c r="M418" s="419"/>
      <c r="N418" s="419"/>
      <c r="O418" s="420"/>
      <c r="P418" s="420"/>
      <c r="Q418" s="419"/>
      <c r="R418" s="420"/>
      <c r="S418" s="420"/>
      <c r="T418" s="420"/>
      <c r="U418" s="420"/>
      <c r="V418" s="421"/>
    </row>
    <row r="419" spans="1:22" ht="15" thickBot="1">
      <c r="A419" s="416"/>
      <c r="B419" s="428"/>
      <c r="C419" s="429"/>
      <c r="D419" s="430"/>
      <c r="E419" s="430"/>
      <c r="F419" s="430"/>
      <c r="G419" s="430"/>
      <c r="H419" s="430"/>
      <c r="I419" s="430"/>
      <c r="J419" s="431"/>
      <c r="K419" s="431"/>
      <c r="L419" s="430"/>
      <c r="M419" s="430"/>
      <c r="N419" s="430"/>
      <c r="O419" s="431"/>
      <c r="P419" s="431"/>
      <c r="Q419" s="430"/>
      <c r="R419" s="431"/>
      <c r="S419" s="431"/>
      <c r="T419" s="431"/>
      <c r="U419" s="431"/>
      <c r="V419" s="421"/>
    </row>
    <row r="420" spans="1:22" ht="15" thickTop="1">
      <c r="A420" s="416"/>
      <c r="B420" s="417"/>
      <c r="C420" s="418"/>
      <c r="D420" s="419"/>
      <c r="E420" s="419"/>
      <c r="F420" s="419"/>
      <c r="G420" s="419"/>
      <c r="H420" s="419"/>
      <c r="I420" s="419"/>
      <c r="J420" s="420"/>
      <c r="K420" s="420"/>
      <c r="L420" s="419"/>
      <c r="M420" s="419"/>
      <c r="N420" s="419"/>
      <c r="O420" s="420"/>
      <c r="P420" s="420"/>
      <c r="Q420" s="419"/>
      <c r="R420" s="420"/>
      <c r="S420" s="420"/>
      <c r="T420" s="420"/>
      <c r="U420" s="420"/>
      <c r="V420" s="421"/>
    </row>
    <row r="421" spans="1:22">
      <c r="A421" s="416"/>
      <c r="B421" s="417"/>
      <c r="C421" s="418"/>
      <c r="D421" s="419"/>
      <c r="E421" s="419"/>
      <c r="F421" s="419"/>
      <c r="G421" s="419"/>
      <c r="H421" s="419"/>
      <c r="I421" s="419"/>
      <c r="J421" s="420"/>
      <c r="K421" s="420"/>
      <c r="L421" s="419"/>
      <c r="M421" s="419"/>
      <c r="N421" s="419"/>
      <c r="O421" s="420"/>
      <c r="P421" s="420"/>
      <c r="Q421" s="419"/>
      <c r="R421" s="420"/>
      <c r="S421" s="420"/>
      <c r="T421" s="420"/>
      <c r="U421" s="420"/>
      <c r="V421" s="421"/>
    </row>
    <row r="422" spans="1:22">
      <c r="A422" s="416"/>
      <c r="B422" s="422"/>
      <c r="C422" s="423"/>
      <c r="D422" s="424"/>
      <c r="E422" s="424"/>
      <c r="F422" s="424"/>
      <c r="G422" s="424"/>
      <c r="H422" s="424"/>
      <c r="I422" s="424"/>
      <c r="J422" s="426"/>
      <c r="K422" s="426"/>
      <c r="L422" s="424"/>
      <c r="M422" s="424"/>
      <c r="N422" s="424"/>
      <c r="O422" s="426"/>
      <c r="P422" s="426"/>
      <c r="Q422" s="424"/>
      <c r="R422" s="426"/>
      <c r="S422" s="426"/>
      <c r="T422" s="426"/>
      <c r="U422" s="426"/>
      <c r="V422" s="421"/>
    </row>
    <row r="423" spans="1:22">
      <c r="A423" s="416"/>
      <c r="B423" s="394"/>
      <c r="C423" s="413"/>
      <c r="D423" s="414"/>
      <c r="E423" s="414"/>
      <c r="F423" s="414"/>
      <c r="G423" s="414"/>
      <c r="H423" s="414"/>
      <c r="I423" s="414"/>
      <c r="J423" s="415"/>
      <c r="K423" s="415"/>
      <c r="L423" s="414"/>
      <c r="M423" s="414"/>
      <c r="N423" s="414"/>
      <c r="O423" s="415"/>
      <c r="P423" s="415"/>
      <c r="Q423" s="414"/>
      <c r="R423" s="415"/>
      <c r="S423" s="415"/>
      <c r="T423" s="415"/>
      <c r="U423" s="415"/>
      <c r="V423" s="421"/>
    </row>
    <row r="424" spans="1:22">
      <c r="A424" s="416"/>
      <c r="B424" s="417"/>
      <c r="C424" s="418"/>
      <c r="D424" s="419"/>
      <c r="E424" s="419"/>
      <c r="F424" s="419"/>
      <c r="G424" s="419"/>
      <c r="H424" s="419"/>
      <c r="I424" s="419"/>
      <c r="J424" s="420"/>
      <c r="K424" s="420"/>
      <c r="L424" s="419"/>
      <c r="M424" s="419"/>
      <c r="N424" s="419"/>
      <c r="O424" s="420"/>
      <c r="P424" s="420"/>
      <c r="Q424" s="419"/>
      <c r="R424" s="420"/>
      <c r="S424" s="420"/>
      <c r="T424" s="420"/>
      <c r="U424" s="420"/>
      <c r="V424" s="421"/>
    </row>
    <row r="425" spans="1:22">
      <c r="A425" s="416"/>
      <c r="B425" s="422"/>
      <c r="C425" s="423"/>
      <c r="D425" s="424"/>
      <c r="E425" s="424"/>
      <c r="F425" s="424"/>
      <c r="G425" s="424"/>
      <c r="H425" s="424"/>
      <c r="I425" s="424"/>
      <c r="J425" s="426"/>
      <c r="K425" s="426"/>
      <c r="L425" s="424"/>
      <c r="M425" s="424"/>
      <c r="N425" s="424"/>
      <c r="O425" s="426"/>
      <c r="P425" s="426"/>
      <c r="Q425" s="424"/>
      <c r="R425" s="426"/>
      <c r="S425" s="426"/>
      <c r="T425" s="426"/>
      <c r="U425" s="426"/>
      <c r="V425" s="421"/>
    </row>
    <row r="426" spans="1:22">
      <c r="A426" s="416"/>
      <c r="B426" s="394"/>
      <c r="C426" s="413"/>
      <c r="D426" s="414"/>
      <c r="E426" s="414"/>
      <c r="F426" s="414"/>
      <c r="G426" s="414"/>
      <c r="H426" s="414"/>
      <c r="I426" s="414"/>
      <c r="J426" s="415"/>
      <c r="K426" s="415"/>
      <c r="L426" s="414"/>
      <c r="M426" s="414"/>
      <c r="N426" s="414"/>
      <c r="O426" s="415"/>
      <c r="P426" s="415"/>
      <c r="Q426" s="414"/>
      <c r="R426" s="415"/>
      <c r="S426" s="415"/>
      <c r="T426" s="415"/>
      <c r="U426" s="415"/>
      <c r="V426" s="421"/>
    </row>
    <row r="427" spans="1:22">
      <c r="A427" s="416"/>
      <c r="B427" s="417"/>
      <c r="C427" s="418"/>
      <c r="D427" s="419"/>
      <c r="E427" s="419"/>
      <c r="F427" s="419"/>
      <c r="G427" s="419"/>
      <c r="H427" s="419"/>
      <c r="I427" s="419"/>
      <c r="J427" s="420"/>
      <c r="K427" s="420"/>
      <c r="L427" s="419"/>
      <c r="M427" s="419"/>
      <c r="N427" s="419"/>
      <c r="O427" s="420"/>
      <c r="P427" s="420"/>
      <c r="Q427" s="419"/>
      <c r="R427" s="420"/>
      <c r="S427" s="420"/>
      <c r="T427" s="420"/>
      <c r="U427" s="420"/>
      <c r="V427" s="421"/>
    </row>
    <row r="428" spans="1:22">
      <c r="A428" s="416"/>
      <c r="B428" s="422"/>
      <c r="C428" s="423"/>
      <c r="D428" s="424"/>
      <c r="E428" s="424"/>
      <c r="F428" s="424"/>
      <c r="G428" s="424"/>
      <c r="H428" s="424"/>
      <c r="I428" s="424"/>
      <c r="J428" s="426"/>
      <c r="K428" s="426"/>
      <c r="L428" s="424"/>
      <c r="M428" s="424"/>
      <c r="N428" s="424"/>
      <c r="O428" s="426"/>
      <c r="P428" s="426"/>
      <c r="Q428" s="424"/>
      <c r="R428" s="426"/>
      <c r="S428" s="426"/>
      <c r="T428" s="426"/>
      <c r="U428" s="426"/>
      <c r="V428" s="421"/>
    </row>
    <row r="429" spans="1:22">
      <c r="A429" s="416"/>
      <c r="B429" s="394"/>
      <c r="C429" s="413"/>
      <c r="D429" s="414"/>
      <c r="E429" s="414"/>
      <c r="F429" s="414"/>
      <c r="G429" s="414"/>
      <c r="H429" s="414"/>
      <c r="I429" s="414"/>
      <c r="J429" s="415"/>
      <c r="K429" s="415"/>
      <c r="L429" s="414"/>
      <c r="M429" s="414"/>
      <c r="N429" s="414"/>
      <c r="O429" s="415"/>
      <c r="P429" s="415"/>
      <c r="Q429" s="414"/>
      <c r="R429" s="415"/>
      <c r="S429" s="415"/>
      <c r="T429" s="415"/>
      <c r="U429" s="415"/>
      <c r="V429" s="421"/>
    </row>
    <row r="430" spans="1:22">
      <c r="A430" s="416"/>
      <c r="B430" s="417"/>
      <c r="C430" s="418"/>
      <c r="D430" s="419"/>
      <c r="E430" s="419"/>
      <c r="F430" s="419"/>
      <c r="G430" s="419"/>
      <c r="H430" s="419"/>
      <c r="I430" s="419"/>
      <c r="J430" s="420"/>
      <c r="K430" s="420"/>
      <c r="L430" s="419"/>
      <c r="M430" s="419"/>
      <c r="N430" s="419"/>
      <c r="O430" s="420"/>
      <c r="P430" s="420"/>
      <c r="Q430" s="419"/>
      <c r="R430" s="420"/>
      <c r="S430" s="420"/>
      <c r="T430" s="420"/>
      <c r="U430" s="420"/>
      <c r="V430" s="421"/>
    </row>
    <row r="431" spans="1:22">
      <c r="A431" s="416"/>
      <c r="B431" s="422"/>
      <c r="C431" s="423"/>
      <c r="D431" s="424"/>
      <c r="E431" s="424"/>
      <c r="F431" s="424"/>
      <c r="G431" s="424"/>
      <c r="H431" s="424"/>
      <c r="I431" s="424"/>
      <c r="J431" s="426"/>
      <c r="K431" s="426"/>
      <c r="L431" s="424"/>
      <c r="M431" s="424"/>
      <c r="N431" s="424"/>
      <c r="O431" s="426"/>
      <c r="P431" s="426"/>
      <c r="Q431" s="424"/>
      <c r="R431" s="426"/>
      <c r="S431" s="426"/>
      <c r="T431" s="426"/>
      <c r="U431" s="426"/>
      <c r="V431" s="421"/>
    </row>
    <row r="432" spans="1:22">
      <c r="A432" s="416"/>
      <c r="B432" s="394"/>
      <c r="C432" s="413"/>
      <c r="D432" s="414"/>
      <c r="E432" s="414"/>
      <c r="F432" s="414"/>
      <c r="G432" s="414"/>
      <c r="H432" s="414"/>
      <c r="I432" s="414"/>
      <c r="J432" s="415"/>
      <c r="K432" s="415"/>
      <c r="L432" s="414"/>
      <c r="M432" s="414"/>
      <c r="N432" s="414"/>
      <c r="O432" s="415"/>
      <c r="P432" s="415"/>
      <c r="Q432" s="414"/>
      <c r="R432" s="415"/>
      <c r="S432" s="415"/>
      <c r="T432" s="415"/>
      <c r="U432" s="415"/>
      <c r="V432" s="421"/>
    </row>
    <row r="433" spans="1:22">
      <c r="A433" s="416"/>
      <c r="B433" s="417"/>
      <c r="C433" s="418"/>
      <c r="D433" s="419"/>
      <c r="E433" s="419"/>
      <c r="F433" s="419"/>
      <c r="G433" s="419"/>
      <c r="H433" s="419"/>
      <c r="I433" s="419"/>
      <c r="J433" s="420"/>
      <c r="K433" s="420"/>
      <c r="L433" s="419"/>
      <c r="M433" s="419"/>
      <c r="N433" s="419"/>
      <c r="O433" s="420"/>
      <c r="P433" s="420"/>
      <c r="Q433" s="419"/>
      <c r="R433" s="420"/>
      <c r="S433" s="420"/>
      <c r="T433" s="420"/>
      <c r="U433" s="420"/>
      <c r="V433" s="421"/>
    </row>
    <row r="434" spans="1:22">
      <c r="A434" s="416"/>
      <c r="B434" s="422"/>
      <c r="C434" s="423"/>
      <c r="D434" s="424"/>
      <c r="E434" s="424"/>
      <c r="F434" s="424"/>
      <c r="G434" s="424"/>
      <c r="H434" s="424"/>
      <c r="I434" s="424"/>
      <c r="J434" s="426"/>
      <c r="K434" s="426"/>
      <c r="L434" s="424"/>
      <c r="M434" s="424"/>
      <c r="N434" s="424"/>
      <c r="O434" s="426"/>
      <c r="P434" s="426"/>
      <c r="Q434" s="424"/>
      <c r="R434" s="426"/>
      <c r="S434" s="426"/>
      <c r="T434" s="426"/>
      <c r="U434" s="426"/>
      <c r="V434" s="421"/>
    </row>
    <row r="435" spans="1:22">
      <c r="A435" s="416"/>
      <c r="B435" s="394"/>
      <c r="C435" s="413"/>
      <c r="D435" s="414"/>
      <c r="E435" s="414"/>
      <c r="F435" s="414"/>
      <c r="G435" s="414"/>
      <c r="H435" s="414"/>
      <c r="I435" s="414"/>
      <c r="J435" s="415"/>
      <c r="K435" s="415"/>
      <c r="L435" s="414"/>
      <c r="M435" s="414"/>
      <c r="N435" s="414"/>
      <c r="O435" s="415"/>
      <c r="P435" s="415"/>
      <c r="Q435" s="414"/>
      <c r="R435" s="415"/>
      <c r="S435" s="415"/>
      <c r="T435" s="415"/>
      <c r="U435" s="415"/>
      <c r="V435" s="421"/>
    </row>
    <row r="436" spans="1:22">
      <c r="A436" s="416"/>
      <c r="B436" s="417"/>
      <c r="C436" s="418"/>
      <c r="D436" s="419"/>
      <c r="E436" s="419"/>
      <c r="F436" s="419"/>
      <c r="G436" s="419"/>
      <c r="H436" s="419"/>
      <c r="I436" s="419"/>
      <c r="J436" s="420"/>
      <c r="K436" s="420"/>
      <c r="L436" s="419"/>
      <c r="M436" s="419"/>
      <c r="N436" s="419"/>
      <c r="O436" s="420"/>
      <c r="P436" s="420"/>
      <c r="Q436" s="419"/>
      <c r="R436" s="420"/>
      <c r="S436" s="420"/>
      <c r="T436" s="420"/>
      <c r="U436" s="420"/>
      <c r="V436" s="421"/>
    </row>
    <row r="437" spans="1:22" ht="15" thickBot="1">
      <c r="A437" s="432"/>
      <c r="B437" s="433"/>
      <c r="C437" s="434"/>
      <c r="D437" s="435"/>
      <c r="E437" s="435"/>
      <c r="F437" s="435"/>
      <c r="G437" s="435"/>
      <c r="H437" s="435"/>
      <c r="I437" s="435"/>
      <c r="J437" s="436"/>
      <c r="K437" s="436"/>
      <c r="L437" s="435"/>
      <c r="M437" s="435"/>
      <c r="N437" s="435"/>
      <c r="O437" s="436"/>
      <c r="P437" s="436"/>
      <c r="Q437" s="435"/>
      <c r="R437" s="436"/>
      <c r="S437" s="436"/>
      <c r="T437" s="436"/>
      <c r="U437" s="436"/>
      <c r="V437" s="421"/>
    </row>
    <row r="438" spans="1:22">
      <c r="A438" s="412"/>
      <c r="B438" s="394"/>
      <c r="C438" s="413"/>
      <c r="D438" s="414"/>
      <c r="E438" s="414"/>
      <c r="F438" s="414"/>
      <c r="G438" s="414"/>
      <c r="H438" s="414"/>
      <c r="I438" s="414"/>
      <c r="J438" s="415"/>
      <c r="K438" s="415"/>
      <c r="L438" s="414"/>
      <c r="M438" s="414"/>
      <c r="N438" s="414"/>
      <c r="O438" s="415"/>
      <c r="P438" s="415"/>
      <c r="Q438" s="414"/>
      <c r="R438" s="415"/>
      <c r="S438" s="415"/>
      <c r="T438" s="415"/>
      <c r="U438" s="415"/>
      <c r="V438" s="421"/>
    </row>
    <row r="439" spans="1:22">
      <c r="A439" s="416"/>
      <c r="B439" s="417"/>
      <c r="C439" s="418"/>
      <c r="D439" s="419"/>
      <c r="E439" s="419"/>
      <c r="F439" s="419"/>
      <c r="G439" s="419"/>
      <c r="H439" s="419"/>
      <c r="I439" s="419"/>
      <c r="J439" s="420"/>
      <c r="K439" s="420"/>
      <c r="L439" s="419"/>
      <c r="M439" s="419"/>
      <c r="N439" s="419"/>
      <c r="O439" s="420"/>
      <c r="P439" s="420"/>
      <c r="Q439" s="419"/>
      <c r="R439" s="420"/>
      <c r="S439" s="420"/>
      <c r="T439" s="420"/>
      <c r="U439" s="420"/>
      <c r="V439" s="421"/>
    </row>
    <row r="440" spans="1:22">
      <c r="A440" s="416"/>
      <c r="B440" s="422"/>
      <c r="C440" s="423"/>
      <c r="D440" s="424"/>
      <c r="E440" s="424"/>
      <c r="F440" s="424"/>
      <c r="G440" s="424"/>
      <c r="H440" s="424"/>
      <c r="I440" s="424"/>
      <c r="J440" s="426"/>
      <c r="K440" s="426"/>
      <c r="L440" s="424"/>
      <c r="M440" s="424"/>
      <c r="N440" s="424"/>
      <c r="O440" s="426"/>
      <c r="P440" s="426"/>
      <c r="Q440" s="424"/>
      <c r="R440" s="426"/>
      <c r="S440" s="426"/>
      <c r="T440" s="426"/>
      <c r="U440" s="426"/>
      <c r="V440" s="421"/>
    </row>
    <row r="441" spans="1:22">
      <c r="A441" s="416"/>
      <c r="B441" s="394"/>
      <c r="C441" s="413"/>
      <c r="D441" s="414"/>
      <c r="E441" s="414"/>
      <c r="F441" s="414"/>
      <c r="G441" s="414"/>
      <c r="H441" s="414"/>
      <c r="I441" s="414"/>
      <c r="J441" s="415"/>
      <c r="K441" s="415"/>
      <c r="L441" s="414"/>
      <c r="M441" s="414"/>
      <c r="N441" s="414"/>
      <c r="O441" s="415"/>
      <c r="P441" s="415"/>
      <c r="Q441" s="414"/>
      <c r="R441" s="415"/>
      <c r="S441" s="415"/>
      <c r="T441" s="415"/>
      <c r="U441" s="415"/>
      <c r="V441" s="421"/>
    </row>
    <row r="442" spans="1:22">
      <c r="A442" s="416"/>
      <c r="B442" s="417"/>
      <c r="C442" s="418"/>
      <c r="D442" s="419"/>
      <c r="E442" s="419"/>
      <c r="F442" s="419"/>
      <c r="G442" s="419"/>
      <c r="H442" s="419"/>
      <c r="I442" s="419"/>
      <c r="J442" s="420"/>
      <c r="K442" s="420"/>
      <c r="L442" s="419"/>
      <c r="M442" s="419"/>
      <c r="N442" s="419"/>
      <c r="O442" s="420"/>
      <c r="P442" s="420"/>
      <c r="Q442" s="419"/>
      <c r="R442" s="420"/>
      <c r="S442" s="420"/>
      <c r="T442" s="420"/>
      <c r="U442" s="420"/>
      <c r="V442" s="421"/>
    </row>
    <row r="443" spans="1:22">
      <c r="A443" s="416"/>
      <c r="B443" s="422"/>
      <c r="C443" s="423"/>
      <c r="D443" s="424"/>
      <c r="E443" s="424"/>
      <c r="F443" s="424"/>
      <c r="G443" s="424"/>
      <c r="H443" s="424"/>
      <c r="I443" s="424"/>
      <c r="J443" s="426"/>
      <c r="K443" s="426"/>
      <c r="L443" s="424"/>
      <c r="M443" s="424"/>
      <c r="N443" s="424"/>
      <c r="O443" s="426"/>
      <c r="P443" s="426"/>
      <c r="Q443" s="424"/>
      <c r="R443" s="426"/>
      <c r="S443" s="426"/>
      <c r="T443" s="426"/>
      <c r="U443" s="426"/>
      <c r="V443" s="421"/>
    </row>
    <row r="444" spans="1:22">
      <c r="A444" s="416"/>
      <c r="B444" s="394"/>
      <c r="C444" s="413"/>
      <c r="D444" s="414"/>
      <c r="E444" s="414"/>
      <c r="F444" s="414"/>
      <c r="G444" s="414"/>
      <c r="H444" s="414"/>
      <c r="I444" s="414"/>
      <c r="J444" s="415"/>
      <c r="K444" s="415"/>
      <c r="L444" s="414"/>
      <c r="M444" s="414"/>
      <c r="N444" s="414"/>
      <c r="O444" s="415"/>
      <c r="P444" s="415"/>
      <c r="Q444" s="414"/>
      <c r="R444" s="415"/>
      <c r="S444" s="415"/>
      <c r="T444" s="415"/>
      <c r="U444" s="415"/>
      <c r="V444" s="421"/>
    </row>
    <row r="445" spans="1:22">
      <c r="A445" s="416"/>
      <c r="B445" s="417"/>
      <c r="C445" s="418"/>
      <c r="D445" s="419"/>
      <c r="E445" s="419"/>
      <c r="F445" s="419"/>
      <c r="G445" s="419"/>
      <c r="H445" s="419"/>
      <c r="I445" s="419"/>
      <c r="J445" s="420"/>
      <c r="K445" s="420"/>
      <c r="L445" s="419"/>
      <c r="M445" s="419"/>
      <c r="N445" s="419"/>
      <c r="O445" s="420"/>
      <c r="P445" s="420"/>
      <c r="Q445" s="419"/>
      <c r="R445" s="420"/>
      <c r="S445" s="420"/>
      <c r="T445" s="420"/>
      <c r="U445" s="420"/>
      <c r="V445" s="421"/>
    </row>
    <row r="446" spans="1:22">
      <c r="A446" s="416"/>
      <c r="B446" s="422"/>
      <c r="C446" s="423"/>
      <c r="D446" s="424"/>
      <c r="E446" s="424"/>
      <c r="F446" s="424"/>
      <c r="G446" s="424"/>
      <c r="H446" s="424"/>
      <c r="I446" s="424"/>
      <c r="J446" s="426"/>
      <c r="K446" s="426"/>
      <c r="L446" s="424"/>
      <c r="M446" s="424"/>
      <c r="N446" s="424"/>
      <c r="O446" s="426"/>
      <c r="P446" s="426"/>
      <c r="Q446" s="424"/>
      <c r="R446" s="426"/>
      <c r="S446" s="426"/>
      <c r="T446" s="426"/>
      <c r="U446" s="426"/>
      <c r="V446" s="421"/>
    </row>
    <row r="447" spans="1:22">
      <c r="A447" s="416"/>
      <c r="B447" s="394"/>
      <c r="C447" s="413"/>
      <c r="D447" s="414"/>
      <c r="E447" s="414"/>
      <c r="F447" s="414"/>
      <c r="G447" s="414"/>
      <c r="H447" s="414"/>
      <c r="I447" s="414"/>
      <c r="J447" s="415"/>
      <c r="K447" s="415"/>
      <c r="L447" s="414"/>
      <c r="M447" s="414"/>
      <c r="N447" s="414"/>
      <c r="O447" s="415"/>
      <c r="P447" s="415"/>
      <c r="Q447" s="414"/>
      <c r="R447" s="415"/>
      <c r="S447" s="415"/>
      <c r="T447" s="415"/>
      <c r="U447" s="415"/>
      <c r="V447" s="421"/>
    </row>
    <row r="448" spans="1:22">
      <c r="A448" s="416"/>
      <c r="B448" s="417"/>
      <c r="C448" s="418"/>
      <c r="D448" s="419"/>
      <c r="E448" s="419"/>
      <c r="F448" s="419"/>
      <c r="G448" s="419"/>
      <c r="H448" s="419"/>
      <c r="I448" s="419"/>
      <c r="J448" s="420"/>
      <c r="K448" s="420"/>
      <c r="L448" s="419"/>
      <c r="M448" s="419"/>
      <c r="N448" s="419"/>
      <c r="O448" s="420"/>
      <c r="P448" s="420"/>
      <c r="Q448" s="419"/>
      <c r="R448" s="420"/>
      <c r="S448" s="420"/>
      <c r="T448" s="420"/>
      <c r="U448" s="420"/>
      <c r="V448" s="421"/>
    </row>
    <row r="449" spans="1:22">
      <c r="A449" s="416"/>
      <c r="B449" s="422"/>
      <c r="C449" s="423"/>
      <c r="D449" s="424"/>
      <c r="E449" s="424"/>
      <c r="F449" s="424"/>
      <c r="G449" s="424"/>
      <c r="H449" s="424"/>
      <c r="I449" s="424"/>
      <c r="J449" s="426"/>
      <c r="K449" s="426"/>
      <c r="L449" s="424"/>
      <c r="M449" s="424"/>
      <c r="N449" s="424"/>
      <c r="O449" s="426"/>
      <c r="P449" s="426"/>
      <c r="Q449" s="424"/>
      <c r="R449" s="426"/>
      <c r="S449" s="426"/>
      <c r="T449" s="426"/>
      <c r="U449" s="426"/>
      <c r="V449" s="421"/>
    </row>
    <row r="450" spans="1:22">
      <c r="A450" s="416"/>
      <c r="B450" s="394"/>
      <c r="C450" s="413"/>
      <c r="D450" s="414"/>
      <c r="E450" s="414"/>
      <c r="F450" s="414"/>
      <c r="G450" s="414"/>
      <c r="H450" s="414"/>
      <c r="I450" s="414"/>
      <c r="J450" s="415"/>
      <c r="K450" s="415"/>
      <c r="L450" s="414"/>
      <c r="M450" s="414"/>
      <c r="N450" s="414"/>
      <c r="O450" s="415"/>
      <c r="P450" s="415"/>
      <c r="Q450" s="414"/>
      <c r="R450" s="415"/>
      <c r="S450" s="415"/>
      <c r="T450" s="415"/>
      <c r="U450" s="415"/>
      <c r="V450" s="421"/>
    </row>
    <row r="451" spans="1:22">
      <c r="A451" s="416"/>
      <c r="B451" s="417"/>
      <c r="C451" s="418"/>
      <c r="D451" s="419"/>
      <c r="E451" s="419"/>
      <c r="F451" s="419"/>
      <c r="G451" s="419"/>
      <c r="H451" s="419"/>
      <c r="I451" s="419"/>
      <c r="J451" s="420"/>
      <c r="K451" s="420"/>
      <c r="L451" s="419"/>
      <c r="M451" s="419"/>
      <c r="N451" s="419"/>
      <c r="O451" s="420"/>
      <c r="P451" s="420"/>
      <c r="Q451" s="419"/>
      <c r="R451" s="420"/>
      <c r="S451" s="420"/>
      <c r="T451" s="420"/>
      <c r="U451" s="420"/>
      <c r="V451" s="421"/>
    </row>
    <row r="452" spans="1:22">
      <c r="A452" s="416"/>
      <c r="B452" s="422"/>
      <c r="C452" s="423"/>
      <c r="D452" s="424"/>
      <c r="E452" s="424"/>
      <c r="F452" s="424"/>
      <c r="G452" s="424"/>
      <c r="H452" s="424"/>
      <c r="I452" s="424"/>
      <c r="J452" s="426"/>
      <c r="K452" s="426"/>
      <c r="L452" s="424"/>
      <c r="M452" s="424"/>
      <c r="N452" s="424"/>
      <c r="O452" s="426"/>
      <c r="P452" s="426"/>
      <c r="Q452" s="424"/>
      <c r="R452" s="426"/>
      <c r="S452" s="426"/>
      <c r="T452" s="426"/>
      <c r="U452" s="426"/>
      <c r="V452" s="421"/>
    </row>
    <row r="453" spans="1:22">
      <c r="A453" s="416"/>
      <c r="B453" s="394"/>
      <c r="C453" s="413"/>
      <c r="D453" s="414"/>
      <c r="E453" s="414"/>
      <c r="F453" s="414"/>
      <c r="G453" s="414"/>
      <c r="H453" s="414"/>
      <c r="I453" s="414"/>
      <c r="J453" s="415"/>
      <c r="K453" s="415"/>
      <c r="L453" s="414"/>
      <c r="M453" s="414"/>
      <c r="N453" s="414"/>
      <c r="O453" s="415"/>
      <c r="P453" s="415"/>
      <c r="Q453" s="414"/>
      <c r="R453" s="415"/>
      <c r="S453" s="415"/>
      <c r="T453" s="415"/>
      <c r="U453" s="415"/>
      <c r="V453" s="421"/>
    </row>
    <row r="454" spans="1:22">
      <c r="A454" s="416"/>
      <c r="B454" s="417"/>
      <c r="C454" s="418"/>
      <c r="D454" s="419"/>
      <c r="E454" s="419"/>
      <c r="F454" s="419"/>
      <c r="G454" s="419"/>
      <c r="H454" s="419"/>
      <c r="I454" s="419"/>
      <c r="J454" s="420"/>
      <c r="K454" s="420"/>
      <c r="L454" s="419"/>
      <c r="M454" s="419"/>
      <c r="N454" s="419"/>
      <c r="O454" s="420"/>
      <c r="P454" s="420"/>
      <c r="Q454" s="419"/>
      <c r="R454" s="420"/>
      <c r="S454" s="420"/>
      <c r="T454" s="420"/>
      <c r="U454" s="420"/>
      <c r="V454" s="421"/>
    </row>
    <row r="455" spans="1:22" ht="15" thickBot="1">
      <c r="A455" s="416"/>
      <c r="B455" s="428"/>
      <c r="C455" s="429"/>
      <c r="D455" s="430"/>
      <c r="E455" s="430"/>
      <c r="F455" s="430"/>
      <c r="G455" s="430"/>
      <c r="H455" s="430"/>
      <c r="I455" s="430"/>
      <c r="J455" s="431"/>
      <c r="K455" s="431"/>
      <c r="L455" s="430"/>
      <c r="M455" s="430"/>
      <c r="N455" s="430"/>
      <c r="O455" s="431"/>
      <c r="P455" s="431"/>
      <c r="Q455" s="430"/>
      <c r="R455" s="431"/>
      <c r="S455" s="431"/>
      <c r="T455" s="431"/>
      <c r="U455" s="431"/>
      <c r="V455" s="421"/>
    </row>
    <row r="456" spans="1:22" ht="15" thickTop="1">
      <c r="A456" s="416"/>
      <c r="B456" s="417"/>
      <c r="C456" s="418"/>
      <c r="D456" s="419"/>
      <c r="E456" s="419"/>
      <c r="F456" s="419"/>
      <c r="G456" s="419"/>
      <c r="H456" s="419"/>
      <c r="I456" s="419"/>
      <c r="J456" s="420"/>
      <c r="K456" s="420"/>
      <c r="L456" s="419"/>
      <c r="M456" s="419"/>
      <c r="N456" s="419"/>
      <c r="O456" s="420"/>
      <c r="P456" s="420"/>
      <c r="Q456" s="419"/>
      <c r="R456" s="420"/>
      <c r="S456" s="420"/>
      <c r="T456" s="420"/>
      <c r="U456" s="420"/>
      <c r="V456" s="421"/>
    </row>
    <row r="457" spans="1:22">
      <c r="A457" s="416"/>
      <c r="B457" s="417"/>
      <c r="C457" s="418"/>
      <c r="D457" s="419"/>
      <c r="E457" s="419"/>
      <c r="F457" s="419"/>
      <c r="G457" s="419"/>
      <c r="H457" s="419"/>
      <c r="I457" s="419"/>
      <c r="J457" s="420"/>
      <c r="K457" s="420"/>
      <c r="L457" s="419"/>
      <c r="M457" s="419"/>
      <c r="N457" s="419"/>
      <c r="O457" s="420"/>
      <c r="P457" s="420"/>
      <c r="Q457" s="419"/>
      <c r="R457" s="420"/>
      <c r="S457" s="420"/>
      <c r="T457" s="420"/>
      <c r="U457" s="420"/>
      <c r="V457" s="421"/>
    </row>
    <row r="458" spans="1:22">
      <c r="A458" s="416"/>
      <c r="B458" s="422"/>
      <c r="C458" s="423"/>
      <c r="D458" s="424"/>
      <c r="E458" s="424"/>
      <c r="F458" s="424"/>
      <c r="G458" s="424"/>
      <c r="H458" s="424"/>
      <c r="I458" s="424"/>
      <c r="J458" s="426"/>
      <c r="K458" s="426"/>
      <c r="L458" s="424"/>
      <c r="M458" s="424"/>
      <c r="N458" s="424"/>
      <c r="O458" s="426"/>
      <c r="P458" s="426"/>
      <c r="Q458" s="424"/>
      <c r="R458" s="426"/>
      <c r="S458" s="426"/>
      <c r="T458" s="426"/>
      <c r="U458" s="426"/>
      <c r="V458" s="421"/>
    </row>
    <row r="459" spans="1:22">
      <c r="A459" s="416"/>
      <c r="B459" s="394"/>
      <c r="C459" s="413"/>
      <c r="D459" s="414"/>
      <c r="E459" s="414"/>
      <c r="F459" s="414"/>
      <c r="G459" s="414"/>
      <c r="H459" s="414"/>
      <c r="I459" s="414"/>
      <c r="J459" s="415"/>
      <c r="K459" s="415"/>
      <c r="L459" s="414"/>
      <c r="M459" s="414"/>
      <c r="N459" s="414"/>
      <c r="O459" s="415"/>
      <c r="P459" s="415"/>
      <c r="Q459" s="414"/>
      <c r="R459" s="415"/>
      <c r="S459" s="415"/>
      <c r="T459" s="415"/>
      <c r="U459" s="415"/>
      <c r="V459" s="421"/>
    </row>
    <row r="460" spans="1:22">
      <c r="A460" s="416"/>
      <c r="B460" s="417"/>
      <c r="C460" s="418"/>
      <c r="D460" s="419"/>
      <c r="E460" s="419"/>
      <c r="F460" s="419"/>
      <c r="G460" s="419"/>
      <c r="H460" s="419"/>
      <c r="I460" s="419"/>
      <c r="J460" s="420"/>
      <c r="K460" s="420"/>
      <c r="L460" s="419"/>
      <c r="M460" s="419"/>
      <c r="N460" s="419"/>
      <c r="O460" s="420"/>
      <c r="P460" s="420"/>
      <c r="Q460" s="419"/>
      <c r="R460" s="420"/>
      <c r="S460" s="420"/>
      <c r="T460" s="420"/>
      <c r="U460" s="420"/>
      <c r="V460" s="421"/>
    </row>
    <row r="461" spans="1:22">
      <c r="A461" s="416"/>
      <c r="B461" s="422"/>
      <c r="C461" s="423"/>
      <c r="D461" s="424"/>
      <c r="E461" s="424"/>
      <c r="F461" s="424"/>
      <c r="G461" s="424"/>
      <c r="H461" s="424"/>
      <c r="I461" s="424"/>
      <c r="J461" s="426"/>
      <c r="K461" s="426"/>
      <c r="L461" s="424"/>
      <c r="M461" s="424"/>
      <c r="N461" s="424"/>
      <c r="O461" s="426"/>
      <c r="P461" s="426"/>
      <c r="Q461" s="424"/>
      <c r="R461" s="426"/>
      <c r="S461" s="426"/>
      <c r="T461" s="426"/>
      <c r="U461" s="426"/>
      <c r="V461" s="421"/>
    </row>
    <row r="462" spans="1:22">
      <c r="A462" s="416"/>
      <c r="B462" s="394"/>
      <c r="C462" s="413"/>
      <c r="D462" s="414"/>
      <c r="E462" s="414"/>
      <c r="F462" s="414"/>
      <c r="G462" s="414"/>
      <c r="H462" s="414"/>
      <c r="I462" s="414"/>
      <c r="J462" s="415"/>
      <c r="K462" s="415"/>
      <c r="L462" s="414"/>
      <c r="M462" s="414"/>
      <c r="N462" s="414"/>
      <c r="O462" s="415"/>
      <c r="P462" s="415"/>
      <c r="Q462" s="414"/>
      <c r="R462" s="415"/>
      <c r="S462" s="415"/>
      <c r="T462" s="415"/>
      <c r="U462" s="415"/>
      <c r="V462" s="421"/>
    </row>
    <row r="463" spans="1:22">
      <c r="A463" s="416"/>
      <c r="B463" s="417"/>
      <c r="C463" s="418"/>
      <c r="D463" s="419"/>
      <c r="E463" s="419"/>
      <c r="F463" s="419"/>
      <c r="G463" s="419"/>
      <c r="H463" s="419"/>
      <c r="I463" s="419"/>
      <c r="J463" s="420"/>
      <c r="K463" s="420"/>
      <c r="L463" s="419"/>
      <c r="M463" s="419"/>
      <c r="N463" s="419"/>
      <c r="O463" s="420"/>
      <c r="P463" s="420"/>
      <c r="Q463" s="419"/>
      <c r="R463" s="420"/>
      <c r="S463" s="420"/>
      <c r="T463" s="420"/>
      <c r="U463" s="420"/>
      <c r="V463" s="421"/>
    </row>
    <row r="464" spans="1:22">
      <c r="A464" s="416"/>
      <c r="B464" s="422"/>
      <c r="C464" s="423"/>
      <c r="D464" s="424"/>
      <c r="E464" s="424"/>
      <c r="F464" s="424"/>
      <c r="G464" s="424"/>
      <c r="H464" s="424"/>
      <c r="I464" s="424"/>
      <c r="J464" s="426"/>
      <c r="K464" s="426"/>
      <c r="L464" s="424"/>
      <c r="M464" s="424"/>
      <c r="N464" s="424"/>
      <c r="O464" s="426"/>
      <c r="P464" s="426"/>
      <c r="Q464" s="424"/>
      <c r="R464" s="426"/>
      <c r="S464" s="426"/>
      <c r="T464" s="426"/>
      <c r="U464" s="426"/>
      <c r="V464" s="421"/>
    </row>
    <row r="465" spans="1:22">
      <c r="A465" s="416"/>
      <c r="B465" s="394"/>
      <c r="C465" s="413"/>
      <c r="D465" s="414"/>
      <c r="E465" s="414"/>
      <c r="F465" s="414"/>
      <c r="G465" s="414"/>
      <c r="H465" s="414"/>
      <c r="I465" s="414"/>
      <c r="J465" s="415"/>
      <c r="K465" s="415"/>
      <c r="L465" s="414"/>
      <c r="M465" s="414"/>
      <c r="N465" s="414"/>
      <c r="O465" s="415"/>
      <c r="P465" s="415"/>
      <c r="Q465" s="414"/>
      <c r="R465" s="415"/>
      <c r="S465" s="415"/>
      <c r="T465" s="415"/>
      <c r="U465" s="415"/>
      <c r="V465" s="421"/>
    </row>
    <row r="466" spans="1:22">
      <c r="A466" s="416"/>
      <c r="B466" s="417"/>
      <c r="C466" s="418"/>
      <c r="D466" s="419"/>
      <c r="E466" s="419"/>
      <c r="F466" s="419"/>
      <c r="G466" s="419"/>
      <c r="H466" s="419"/>
      <c r="I466" s="419"/>
      <c r="J466" s="420"/>
      <c r="K466" s="420"/>
      <c r="L466" s="419"/>
      <c r="M466" s="419"/>
      <c r="N466" s="419"/>
      <c r="O466" s="420"/>
      <c r="P466" s="420"/>
      <c r="Q466" s="419"/>
      <c r="R466" s="420"/>
      <c r="S466" s="420"/>
      <c r="T466" s="420"/>
      <c r="U466" s="420"/>
      <c r="V466" s="421"/>
    </row>
    <row r="467" spans="1:22">
      <c r="A467" s="416"/>
      <c r="B467" s="422"/>
      <c r="C467" s="423"/>
      <c r="D467" s="424"/>
      <c r="E467" s="424"/>
      <c r="F467" s="424"/>
      <c r="G467" s="424"/>
      <c r="H467" s="424"/>
      <c r="I467" s="424"/>
      <c r="J467" s="426"/>
      <c r="K467" s="426"/>
      <c r="L467" s="424"/>
      <c r="M467" s="424"/>
      <c r="N467" s="424"/>
      <c r="O467" s="426"/>
      <c r="P467" s="426"/>
      <c r="Q467" s="424"/>
      <c r="R467" s="426"/>
      <c r="S467" s="426"/>
      <c r="T467" s="426"/>
      <c r="U467" s="426"/>
      <c r="V467" s="421"/>
    </row>
    <row r="468" spans="1:22">
      <c r="A468" s="416"/>
      <c r="B468" s="394"/>
      <c r="C468" s="413"/>
      <c r="D468" s="414"/>
      <c r="E468" s="414"/>
      <c r="F468" s="414"/>
      <c r="G468" s="414"/>
      <c r="H468" s="414"/>
      <c r="I468" s="414"/>
      <c r="J468" s="415"/>
      <c r="K468" s="415"/>
      <c r="L468" s="414"/>
      <c r="M468" s="414"/>
      <c r="N468" s="414"/>
      <c r="O468" s="415"/>
      <c r="P468" s="415"/>
      <c r="Q468" s="414"/>
      <c r="R468" s="415"/>
      <c r="S468" s="415"/>
      <c r="T468" s="415"/>
      <c r="U468" s="415"/>
      <c r="V468" s="421"/>
    </row>
    <row r="469" spans="1:22">
      <c r="A469" s="416"/>
      <c r="B469" s="417"/>
      <c r="C469" s="418"/>
      <c r="D469" s="419"/>
      <c r="E469" s="419"/>
      <c r="F469" s="419"/>
      <c r="G469" s="419"/>
      <c r="H469" s="419"/>
      <c r="I469" s="419"/>
      <c r="J469" s="420"/>
      <c r="K469" s="420"/>
      <c r="L469" s="419"/>
      <c r="M469" s="419"/>
      <c r="N469" s="419"/>
      <c r="O469" s="420"/>
      <c r="P469" s="420"/>
      <c r="Q469" s="419"/>
      <c r="R469" s="420"/>
      <c r="S469" s="420"/>
      <c r="T469" s="420"/>
      <c r="U469" s="420"/>
      <c r="V469" s="421"/>
    </row>
    <row r="470" spans="1:22">
      <c r="A470" s="416"/>
      <c r="B470" s="422"/>
      <c r="C470" s="423"/>
      <c r="D470" s="424"/>
      <c r="E470" s="424"/>
      <c r="F470" s="424"/>
      <c r="G470" s="424"/>
      <c r="H470" s="424"/>
      <c r="I470" s="424"/>
      <c r="J470" s="426"/>
      <c r="K470" s="426"/>
      <c r="L470" s="424"/>
      <c r="M470" s="424"/>
      <c r="N470" s="424"/>
      <c r="O470" s="426"/>
      <c r="P470" s="426"/>
      <c r="Q470" s="424"/>
      <c r="R470" s="426"/>
      <c r="S470" s="426"/>
      <c r="T470" s="426"/>
      <c r="U470" s="426"/>
      <c r="V470" s="421"/>
    </row>
    <row r="471" spans="1:22">
      <c r="A471" s="416"/>
      <c r="B471" s="394"/>
      <c r="C471" s="413"/>
      <c r="D471" s="414"/>
      <c r="E471" s="414"/>
      <c r="F471" s="414"/>
      <c r="G471" s="414"/>
      <c r="H471" s="414"/>
      <c r="I471" s="414"/>
      <c r="J471" s="415"/>
      <c r="K471" s="415"/>
      <c r="L471" s="414"/>
      <c r="M471" s="414"/>
      <c r="N471" s="414"/>
      <c r="O471" s="415"/>
      <c r="P471" s="415"/>
      <c r="Q471" s="414"/>
      <c r="R471" s="415"/>
      <c r="S471" s="415"/>
      <c r="T471" s="415"/>
      <c r="U471" s="415"/>
      <c r="V471" s="421"/>
    </row>
    <row r="472" spans="1:22">
      <c r="A472" s="416"/>
      <c r="B472" s="417"/>
      <c r="C472" s="418"/>
      <c r="D472" s="419"/>
      <c r="E472" s="419"/>
      <c r="F472" s="419"/>
      <c r="G472" s="419"/>
      <c r="H472" s="419"/>
      <c r="I472" s="419"/>
      <c r="J472" s="420"/>
      <c r="K472" s="420"/>
      <c r="L472" s="419"/>
      <c r="M472" s="419"/>
      <c r="N472" s="419"/>
      <c r="O472" s="420"/>
      <c r="P472" s="420"/>
      <c r="Q472" s="419"/>
      <c r="R472" s="420"/>
      <c r="S472" s="420"/>
      <c r="T472" s="420"/>
      <c r="U472" s="420"/>
      <c r="V472" s="421"/>
    </row>
    <row r="473" spans="1:22" ht="15" thickBot="1">
      <c r="A473" s="432"/>
      <c r="B473" s="433"/>
      <c r="C473" s="434"/>
      <c r="D473" s="435"/>
      <c r="E473" s="435"/>
      <c r="F473" s="435"/>
      <c r="G473" s="435"/>
      <c r="H473" s="435"/>
      <c r="I473" s="435"/>
      <c r="J473" s="436"/>
      <c r="K473" s="436"/>
      <c r="L473" s="435"/>
      <c r="M473" s="435"/>
      <c r="N473" s="435"/>
      <c r="O473" s="436"/>
      <c r="P473" s="436"/>
      <c r="Q473" s="435"/>
      <c r="R473" s="436"/>
      <c r="S473" s="436"/>
      <c r="T473" s="436"/>
      <c r="U473" s="436"/>
      <c r="V473" s="421"/>
    </row>
    <row r="474" spans="1:22">
      <c r="A474" s="412"/>
      <c r="B474" s="394"/>
      <c r="C474" s="413"/>
      <c r="D474" s="414"/>
      <c r="E474" s="414"/>
      <c r="F474" s="414"/>
      <c r="G474" s="414"/>
      <c r="H474" s="414"/>
      <c r="I474" s="414"/>
      <c r="J474" s="415"/>
      <c r="K474" s="415"/>
      <c r="L474" s="414"/>
      <c r="M474" s="414"/>
      <c r="N474" s="414"/>
      <c r="O474" s="415"/>
      <c r="P474" s="415"/>
      <c r="Q474" s="414"/>
      <c r="R474" s="415"/>
      <c r="S474" s="415"/>
      <c r="T474" s="415"/>
      <c r="U474" s="415"/>
      <c r="V474" s="421"/>
    </row>
    <row r="475" spans="1:22">
      <c r="A475" s="416"/>
      <c r="B475" s="417"/>
      <c r="C475" s="418"/>
      <c r="D475" s="419"/>
      <c r="E475" s="419"/>
      <c r="F475" s="419"/>
      <c r="G475" s="419"/>
      <c r="H475" s="419"/>
      <c r="I475" s="419"/>
      <c r="J475" s="420"/>
      <c r="K475" s="420"/>
      <c r="L475" s="419"/>
      <c r="M475" s="419"/>
      <c r="N475" s="419"/>
      <c r="O475" s="420"/>
      <c r="P475" s="420"/>
      <c r="Q475" s="419"/>
      <c r="R475" s="420"/>
      <c r="S475" s="420"/>
      <c r="T475" s="420"/>
      <c r="U475" s="420"/>
      <c r="V475" s="421"/>
    </row>
    <row r="476" spans="1:22">
      <c r="A476" s="416"/>
      <c r="B476" s="422"/>
      <c r="C476" s="423"/>
      <c r="D476" s="424"/>
      <c r="E476" s="424"/>
      <c r="F476" s="424"/>
      <c r="G476" s="424"/>
      <c r="H476" s="424"/>
      <c r="I476" s="424"/>
      <c r="J476" s="426"/>
      <c r="K476" s="426"/>
      <c r="L476" s="424"/>
      <c r="M476" s="424"/>
      <c r="N476" s="424"/>
      <c r="O476" s="426"/>
      <c r="P476" s="426"/>
      <c r="Q476" s="424"/>
      <c r="R476" s="426"/>
      <c r="S476" s="426"/>
      <c r="T476" s="426"/>
      <c r="U476" s="426"/>
      <c r="V476" s="421"/>
    </row>
    <row r="477" spans="1:22">
      <c r="A477" s="416"/>
      <c r="B477" s="394"/>
      <c r="C477" s="413"/>
      <c r="D477" s="414"/>
      <c r="E477" s="414"/>
      <c r="F477" s="414"/>
      <c r="G477" s="414"/>
      <c r="H477" s="414"/>
      <c r="I477" s="414"/>
      <c r="J477" s="415"/>
      <c r="K477" s="415"/>
      <c r="L477" s="414"/>
      <c r="M477" s="414"/>
      <c r="N477" s="414"/>
      <c r="O477" s="415"/>
      <c r="P477" s="415"/>
      <c r="Q477" s="414"/>
      <c r="R477" s="415"/>
      <c r="S477" s="415"/>
      <c r="T477" s="415"/>
      <c r="U477" s="415"/>
      <c r="V477" s="421"/>
    </row>
    <row r="478" spans="1:22">
      <c r="A478" s="416"/>
      <c r="B478" s="417"/>
      <c r="C478" s="418"/>
      <c r="D478" s="419"/>
      <c r="E478" s="419"/>
      <c r="F478" s="419"/>
      <c r="G478" s="419"/>
      <c r="H478" s="419"/>
      <c r="I478" s="419"/>
      <c r="J478" s="420"/>
      <c r="K478" s="420"/>
      <c r="L478" s="419"/>
      <c r="M478" s="419"/>
      <c r="N478" s="419"/>
      <c r="O478" s="420"/>
      <c r="P478" s="420"/>
      <c r="Q478" s="419"/>
      <c r="R478" s="420"/>
      <c r="S478" s="420"/>
      <c r="T478" s="420"/>
      <c r="U478" s="420"/>
      <c r="V478" s="421"/>
    </row>
    <row r="479" spans="1:22">
      <c r="A479" s="416"/>
      <c r="B479" s="422"/>
      <c r="C479" s="423"/>
      <c r="D479" s="424"/>
      <c r="E479" s="424"/>
      <c r="F479" s="424"/>
      <c r="G479" s="424"/>
      <c r="H479" s="424"/>
      <c r="I479" s="424"/>
      <c r="J479" s="426"/>
      <c r="K479" s="426"/>
      <c r="L479" s="424"/>
      <c r="M479" s="424"/>
      <c r="N479" s="424"/>
      <c r="O479" s="426"/>
      <c r="P479" s="426"/>
      <c r="Q479" s="424"/>
      <c r="R479" s="426"/>
      <c r="S479" s="426"/>
      <c r="T479" s="426"/>
      <c r="U479" s="426"/>
      <c r="V479" s="421"/>
    </row>
    <row r="480" spans="1:22">
      <c r="A480" s="416"/>
      <c r="B480" s="394"/>
      <c r="C480" s="413"/>
      <c r="D480" s="414"/>
      <c r="E480" s="414"/>
      <c r="F480" s="414"/>
      <c r="G480" s="414"/>
      <c r="H480" s="414"/>
      <c r="I480" s="414"/>
      <c r="J480" s="415"/>
      <c r="K480" s="415"/>
      <c r="L480" s="414"/>
      <c r="M480" s="414"/>
      <c r="N480" s="414"/>
      <c r="O480" s="415"/>
      <c r="P480" s="415"/>
      <c r="Q480" s="414"/>
      <c r="R480" s="415"/>
      <c r="S480" s="415"/>
      <c r="T480" s="415"/>
      <c r="U480" s="415"/>
      <c r="V480" s="421"/>
    </row>
    <row r="481" spans="1:22">
      <c r="A481" s="416"/>
      <c r="B481" s="417"/>
      <c r="C481" s="418"/>
      <c r="D481" s="419"/>
      <c r="E481" s="419"/>
      <c r="F481" s="419"/>
      <c r="G481" s="419"/>
      <c r="H481" s="419"/>
      <c r="I481" s="419"/>
      <c r="J481" s="420"/>
      <c r="K481" s="420"/>
      <c r="L481" s="419"/>
      <c r="M481" s="419"/>
      <c r="N481" s="419"/>
      <c r="O481" s="420"/>
      <c r="P481" s="420"/>
      <c r="Q481" s="419"/>
      <c r="R481" s="420"/>
      <c r="S481" s="420"/>
      <c r="T481" s="420"/>
      <c r="U481" s="420"/>
      <c r="V481" s="421"/>
    </row>
    <row r="482" spans="1:22">
      <c r="A482" s="416"/>
      <c r="B482" s="422"/>
      <c r="C482" s="423"/>
      <c r="D482" s="424"/>
      <c r="E482" s="424"/>
      <c r="F482" s="424"/>
      <c r="G482" s="424"/>
      <c r="H482" s="424"/>
      <c r="I482" s="424"/>
      <c r="J482" s="426"/>
      <c r="K482" s="426"/>
      <c r="L482" s="424"/>
      <c r="M482" s="424"/>
      <c r="N482" s="424"/>
      <c r="O482" s="426"/>
      <c r="P482" s="426"/>
      <c r="Q482" s="424"/>
      <c r="R482" s="426"/>
      <c r="S482" s="426"/>
      <c r="T482" s="426"/>
      <c r="U482" s="426"/>
      <c r="V482" s="421"/>
    </row>
    <row r="483" spans="1:22">
      <c r="A483" s="416"/>
      <c r="B483" s="394"/>
      <c r="C483" s="413"/>
      <c r="D483" s="414"/>
      <c r="E483" s="414"/>
      <c r="F483" s="414"/>
      <c r="G483" s="414"/>
      <c r="H483" s="414"/>
      <c r="I483" s="414"/>
      <c r="J483" s="415"/>
      <c r="K483" s="415"/>
      <c r="L483" s="414"/>
      <c r="M483" s="414"/>
      <c r="N483" s="414"/>
      <c r="O483" s="415"/>
      <c r="P483" s="415"/>
      <c r="Q483" s="414"/>
      <c r="R483" s="415"/>
      <c r="S483" s="415"/>
      <c r="T483" s="415"/>
      <c r="U483" s="415"/>
      <c r="V483" s="421"/>
    </row>
    <row r="484" spans="1:22">
      <c r="A484" s="416"/>
      <c r="B484" s="417"/>
      <c r="C484" s="418"/>
      <c r="D484" s="419"/>
      <c r="E484" s="419"/>
      <c r="F484" s="419"/>
      <c r="G484" s="419"/>
      <c r="H484" s="419"/>
      <c r="I484" s="419"/>
      <c r="J484" s="420"/>
      <c r="K484" s="420"/>
      <c r="L484" s="419"/>
      <c r="M484" s="419"/>
      <c r="N484" s="419"/>
      <c r="O484" s="420"/>
      <c r="P484" s="420"/>
      <c r="Q484" s="419"/>
      <c r="R484" s="420"/>
      <c r="S484" s="420"/>
      <c r="T484" s="420"/>
      <c r="U484" s="420"/>
      <c r="V484" s="421"/>
    </row>
    <row r="485" spans="1:22">
      <c r="A485" s="416"/>
      <c r="B485" s="422"/>
      <c r="C485" s="423"/>
      <c r="D485" s="424"/>
      <c r="E485" s="424"/>
      <c r="F485" s="424"/>
      <c r="G485" s="424"/>
      <c r="H485" s="424"/>
      <c r="I485" s="424"/>
      <c r="J485" s="426"/>
      <c r="K485" s="426"/>
      <c r="L485" s="424"/>
      <c r="M485" s="424"/>
      <c r="N485" s="424"/>
      <c r="O485" s="426"/>
      <c r="P485" s="426"/>
      <c r="Q485" s="424"/>
      <c r="R485" s="426"/>
      <c r="S485" s="426"/>
      <c r="T485" s="426"/>
      <c r="U485" s="426"/>
      <c r="V485" s="421"/>
    </row>
    <row r="486" spans="1:22">
      <c r="A486" s="416"/>
      <c r="B486" s="394"/>
      <c r="C486" s="413"/>
      <c r="D486" s="414"/>
      <c r="E486" s="414"/>
      <c r="F486" s="414"/>
      <c r="G486" s="414"/>
      <c r="H486" s="414"/>
      <c r="I486" s="414"/>
      <c r="J486" s="415"/>
      <c r="K486" s="415"/>
      <c r="L486" s="414"/>
      <c r="M486" s="414"/>
      <c r="N486" s="414"/>
      <c r="O486" s="415"/>
      <c r="P486" s="415"/>
      <c r="Q486" s="414"/>
      <c r="R486" s="415"/>
      <c r="S486" s="415"/>
      <c r="T486" s="415"/>
      <c r="U486" s="415"/>
      <c r="V486" s="421"/>
    </row>
    <row r="487" spans="1:22">
      <c r="A487" s="416"/>
      <c r="B487" s="417"/>
      <c r="C487" s="418"/>
      <c r="D487" s="419"/>
      <c r="E487" s="419"/>
      <c r="F487" s="419"/>
      <c r="G487" s="419"/>
      <c r="H487" s="419"/>
      <c r="I487" s="419"/>
      <c r="J487" s="420"/>
      <c r="K487" s="420"/>
      <c r="L487" s="419"/>
      <c r="M487" s="419"/>
      <c r="N487" s="419"/>
      <c r="O487" s="420"/>
      <c r="P487" s="420"/>
      <c r="Q487" s="419"/>
      <c r="R487" s="420"/>
      <c r="S487" s="420"/>
      <c r="T487" s="420"/>
      <c r="U487" s="420"/>
      <c r="V487" s="421"/>
    </row>
    <row r="488" spans="1:22">
      <c r="A488" s="416"/>
      <c r="B488" s="422"/>
      <c r="C488" s="423"/>
      <c r="D488" s="424"/>
      <c r="E488" s="424"/>
      <c r="F488" s="424"/>
      <c r="G488" s="424"/>
      <c r="H488" s="424"/>
      <c r="I488" s="424"/>
      <c r="J488" s="426"/>
      <c r="K488" s="426"/>
      <c r="L488" s="424"/>
      <c r="M488" s="424"/>
      <c r="N488" s="424"/>
      <c r="O488" s="426"/>
      <c r="P488" s="426"/>
      <c r="Q488" s="424"/>
      <c r="R488" s="426"/>
      <c r="S488" s="426"/>
      <c r="T488" s="426"/>
      <c r="U488" s="426"/>
      <c r="V488" s="421"/>
    </row>
    <row r="489" spans="1:22">
      <c r="A489" s="416"/>
      <c r="B489" s="394"/>
      <c r="C489" s="413"/>
      <c r="D489" s="414"/>
      <c r="E489" s="414"/>
      <c r="F489" s="414"/>
      <c r="G489" s="414"/>
      <c r="H489" s="414"/>
      <c r="I489" s="414"/>
      <c r="J489" s="415"/>
      <c r="K489" s="415"/>
      <c r="L489" s="414"/>
      <c r="M489" s="414"/>
      <c r="N489" s="414"/>
      <c r="O489" s="415"/>
      <c r="P489" s="415"/>
      <c r="Q489" s="414"/>
      <c r="R489" s="415"/>
      <c r="S489" s="415"/>
      <c r="T489" s="415"/>
      <c r="U489" s="415"/>
      <c r="V489" s="421"/>
    </row>
    <row r="490" spans="1:22">
      <c r="A490" s="416"/>
      <c r="B490" s="417"/>
      <c r="C490" s="418"/>
      <c r="D490" s="419"/>
      <c r="E490" s="419"/>
      <c r="F490" s="419"/>
      <c r="G490" s="419"/>
      <c r="H490" s="419"/>
      <c r="I490" s="419"/>
      <c r="J490" s="420"/>
      <c r="K490" s="420"/>
      <c r="L490" s="419"/>
      <c r="M490" s="419"/>
      <c r="N490" s="419"/>
      <c r="O490" s="420"/>
      <c r="P490" s="420"/>
      <c r="Q490" s="419"/>
      <c r="R490" s="420"/>
      <c r="S490" s="420"/>
      <c r="T490" s="420"/>
      <c r="U490" s="420"/>
      <c r="V490" s="421"/>
    </row>
    <row r="491" spans="1:22" ht="15" thickBot="1">
      <c r="A491" s="416"/>
      <c r="B491" s="428"/>
      <c r="C491" s="429"/>
      <c r="D491" s="430"/>
      <c r="E491" s="430"/>
      <c r="F491" s="430"/>
      <c r="G491" s="430"/>
      <c r="H491" s="430"/>
      <c r="I491" s="430"/>
      <c r="J491" s="431"/>
      <c r="K491" s="431"/>
      <c r="L491" s="430"/>
      <c r="M491" s="430"/>
      <c r="N491" s="430"/>
      <c r="O491" s="431"/>
      <c r="P491" s="431"/>
      <c r="Q491" s="430"/>
      <c r="R491" s="431"/>
      <c r="S491" s="431"/>
      <c r="T491" s="431"/>
      <c r="U491" s="431"/>
      <c r="V491" s="421"/>
    </row>
    <row r="492" spans="1:22" ht="15" thickTop="1">
      <c r="A492" s="416"/>
      <c r="B492" s="417"/>
      <c r="C492" s="418"/>
      <c r="D492" s="419"/>
      <c r="E492" s="419"/>
      <c r="F492" s="419"/>
      <c r="G492" s="419"/>
      <c r="H492" s="419"/>
      <c r="I492" s="419"/>
      <c r="J492" s="420"/>
      <c r="K492" s="420"/>
      <c r="L492" s="419"/>
      <c r="M492" s="419"/>
      <c r="N492" s="419"/>
      <c r="O492" s="420"/>
      <c r="P492" s="420"/>
      <c r="Q492" s="419"/>
      <c r="R492" s="420"/>
      <c r="S492" s="420"/>
      <c r="T492" s="420"/>
      <c r="U492" s="420"/>
      <c r="V492" s="421"/>
    </row>
    <row r="493" spans="1:22">
      <c r="A493" s="416"/>
      <c r="B493" s="417"/>
      <c r="C493" s="418"/>
      <c r="D493" s="419"/>
      <c r="E493" s="419"/>
      <c r="F493" s="419"/>
      <c r="G493" s="419"/>
      <c r="H493" s="419"/>
      <c r="I493" s="419"/>
      <c r="J493" s="420"/>
      <c r="K493" s="420"/>
      <c r="L493" s="419"/>
      <c r="M493" s="419"/>
      <c r="N493" s="419"/>
      <c r="O493" s="420"/>
      <c r="P493" s="420"/>
      <c r="Q493" s="419"/>
      <c r="R493" s="420"/>
      <c r="S493" s="420"/>
      <c r="T493" s="420"/>
      <c r="U493" s="420"/>
      <c r="V493" s="421"/>
    </row>
    <row r="494" spans="1:22">
      <c r="A494" s="416"/>
      <c r="B494" s="422"/>
      <c r="C494" s="423"/>
      <c r="D494" s="424"/>
      <c r="E494" s="424"/>
      <c r="F494" s="424"/>
      <c r="G494" s="424"/>
      <c r="H494" s="424"/>
      <c r="I494" s="424"/>
      <c r="J494" s="426"/>
      <c r="K494" s="426"/>
      <c r="L494" s="424"/>
      <c r="M494" s="424"/>
      <c r="N494" s="424"/>
      <c r="O494" s="426"/>
      <c r="P494" s="426"/>
      <c r="Q494" s="424"/>
      <c r="R494" s="426"/>
      <c r="S494" s="426"/>
      <c r="T494" s="426"/>
      <c r="U494" s="426"/>
      <c r="V494" s="421"/>
    </row>
    <row r="495" spans="1:22">
      <c r="A495" s="416"/>
      <c r="B495" s="394"/>
      <c r="C495" s="413"/>
      <c r="D495" s="414"/>
      <c r="E495" s="414"/>
      <c r="F495" s="414"/>
      <c r="G495" s="414"/>
      <c r="H495" s="414"/>
      <c r="I495" s="414"/>
      <c r="J495" s="415"/>
      <c r="K495" s="415"/>
      <c r="L495" s="414"/>
      <c r="M495" s="414"/>
      <c r="N495" s="414"/>
      <c r="O495" s="415"/>
      <c r="P495" s="415"/>
      <c r="Q495" s="414"/>
      <c r="R495" s="415"/>
      <c r="S495" s="415"/>
      <c r="T495" s="415"/>
      <c r="U495" s="415"/>
      <c r="V495" s="421"/>
    </row>
    <row r="496" spans="1:22">
      <c r="A496" s="416"/>
      <c r="B496" s="417"/>
      <c r="C496" s="418"/>
      <c r="D496" s="419"/>
      <c r="E496" s="419"/>
      <c r="F496" s="419"/>
      <c r="G496" s="419"/>
      <c r="H496" s="419"/>
      <c r="I496" s="419"/>
      <c r="J496" s="420"/>
      <c r="K496" s="420"/>
      <c r="L496" s="419"/>
      <c r="M496" s="419"/>
      <c r="N496" s="419"/>
      <c r="O496" s="420"/>
      <c r="P496" s="420"/>
      <c r="Q496" s="419"/>
      <c r="R496" s="420"/>
      <c r="S496" s="420"/>
      <c r="T496" s="420"/>
      <c r="U496" s="420"/>
      <c r="V496" s="421"/>
    </row>
    <row r="497" spans="1:22">
      <c r="A497" s="416"/>
      <c r="B497" s="422"/>
      <c r="C497" s="423"/>
      <c r="D497" s="424"/>
      <c r="E497" s="424"/>
      <c r="F497" s="424"/>
      <c r="G497" s="424"/>
      <c r="H497" s="424"/>
      <c r="I497" s="424"/>
      <c r="J497" s="426"/>
      <c r="K497" s="426"/>
      <c r="L497" s="424"/>
      <c r="M497" s="424"/>
      <c r="N497" s="424"/>
      <c r="O497" s="426"/>
      <c r="P497" s="426"/>
      <c r="Q497" s="424"/>
      <c r="R497" s="426"/>
      <c r="S497" s="426"/>
      <c r="T497" s="426"/>
      <c r="U497" s="426"/>
      <c r="V497" s="421"/>
    </row>
    <row r="498" spans="1:22">
      <c r="A498" s="416"/>
      <c r="B498" s="394"/>
      <c r="C498" s="413"/>
      <c r="D498" s="414"/>
      <c r="E498" s="414"/>
      <c r="F498" s="414"/>
      <c r="G498" s="414"/>
      <c r="H498" s="414"/>
      <c r="I498" s="414"/>
      <c r="J498" s="415"/>
      <c r="K498" s="415"/>
      <c r="L498" s="414"/>
      <c r="M498" s="414"/>
      <c r="N498" s="414"/>
      <c r="O498" s="415"/>
      <c r="P498" s="415"/>
      <c r="Q498" s="414"/>
      <c r="R498" s="415"/>
      <c r="S498" s="415"/>
      <c r="T498" s="415"/>
      <c r="U498" s="415"/>
      <c r="V498" s="421"/>
    </row>
    <row r="499" spans="1:22">
      <c r="A499" s="416"/>
      <c r="B499" s="417"/>
      <c r="C499" s="418"/>
      <c r="D499" s="419"/>
      <c r="E499" s="419"/>
      <c r="F499" s="419"/>
      <c r="G499" s="419"/>
      <c r="H499" s="419"/>
      <c r="I499" s="419"/>
      <c r="J499" s="420"/>
      <c r="K499" s="420"/>
      <c r="L499" s="419"/>
      <c r="M499" s="419"/>
      <c r="N499" s="419"/>
      <c r="O499" s="420"/>
      <c r="P499" s="420"/>
      <c r="Q499" s="419"/>
      <c r="R499" s="420"/>
      <c r="S499" s="420"/>
      <c r="T499" s="420"/>
      <c r="U499" s="420"/>
      <c r="V499" s="421"/>
    </row>
    <row r="500" spans="1:22">
      <c r="A500" s="416"/>
      <c r="B500" s="422"/>
      <c r="C500" s="423"/>
      <c r="D500" s="424"/>
      <c r="E500" s="424"/>
      <c r="F500" s="424"/>
      <c r="G500" s="424"/>
      <c r="H500" s="424"/>
      <c r="I500" s="424"/>
      <c r="J500" s="426"/>
      <c r="K500" s="426"/>
      <c r="L500" s="424"/>
      <c r="M500" s="424"/>
      <c r="N500" s="424"/>
      <c r="O500" s="426"/>
      <c r="P500" s="426"/>
      <c r="Q500" s="424"/>
      <c r="R500" s="426"/>
      <c r="S500" s="426"/>
      <c r="T500" s="426"/>
      <c r="U500" s="426"/>
      <c r="V500" s="421"/>
    </row>
    <row r="501" spans="1:22">
      <c r="A501" s="416"/>
      <c r="B501" s="394"/>
      <c r="C501" s="413"/>
      <c r="D501" s="414"/>
      <c r="E501" s="414"/>
      <c r="F501" s="414"/>
      <c r="G501" s="414"/>
      <c r="H501" s="414"/>
      <c r="I501" s="414"/>
      <c r="J501" s="415"/>
      <c r="K501" s="415"/>
      <c r="L501" s="414"/>
      <c r="M501" s="414"/>
      <c r="N501" s="414"/>
      <c r="O501" s="415"/>
      <c r="P501" s="415"/>
      <c r="Q501" s="414"/>
      <c r="R501" s="415"/>
      <c r="S501" s="415"/>
      <c r="T501" s="415"/>
      <c r="U501" s="415"/>
      <c r="V501" s="421"/>
    </row>
    <row r="502" spans="1:22">
      <c r="A502" s="416"/>
      <c r="B502" s="417"/>
      <c r="C502" s="418"/>
      <c r="D502" s="419"/>
      <c r="E502" s="419"/>
      <c r="F502" s="419"/>
      <c r="G502" s="419"/>
      <c r="H502" s="419"/>
      <c r="I502" s="419"/>
      <c r="J502" s="420"/>
      <c r="K502" s="420"/>
      <c r="L502" s="419"/>
      <c r="M502" s="419"/>
      <c r="N502" s="419"/>
      <c r="O502" s="420"/>
      <c r="P502" s="420"/>
      <c r="Q502" s="419"/>
      <c r="R502" s="420"/>
      <c r="S502" s="420"/>
      <c r="T502" s="420"/>
      <c r="U502" s="420"/>
      <c r="V502" s="421"/>
    </row>
    <row r="503" spans="1:22">
      <c r="A503" s="416"/>
      <c r="B503" s="422"/>
      <c r="C503" s="423"/>
      <c r="D503" s="424"/>
      <c r="E503" s="424"/>
      <c r="F503" s="424"/>
      <c r="G503" s="424"/>
      <c r="H503" s="424"/>
      <c r="I503" s="424"/>
      <c r="J503" s="426"/>
      <c r="K503" s="426"/>
      <c r="L503" s="424"/>
      <c r="M503" s="424"/>
      <c r="N503" s="424"/>
      <c r="O503" s="426"/>
      <c r="P503" s="426"/>
      <c r="Q503" s="424"/>
      <c r="R503" s="426"/>
      <c r="S503" s="426"/>
      <c r="T503" s="426"/>
      <c r="U503" s="426"/>
      <c r="V503" s="421"/>
    </row>
    <row r="504" spans="1:22">
      <c r="A504" s="416"/>
      <c r="B504" s="394"/>
      <c r="C504" s="413"/>
      <c r="D504" s="414"/>
      <c r="E504" s="414"/>
      <c r="F504" s="414"/>
      <c r="G504" s="414"/>
      <c r="H504" s="414"/>
      <c r="I504" s="414"/>
      <c r="J504" s="415"/>
      <c r="K504" s="415"/>
      <c r="L504" s="414"/>
      <c r="M504" s="414"/>
      <c r="N504" s="414"/>
      <c r="O504" s="415"/>
      <c r="P504" s="415"/>
      <c r="Q504" s="414"/>
      <c r="R504" s="415"/>
      <c r="S504" s="415"/>
      <c r="T504" s="415"/>
      <c r="U504" s="415"/>
      <c r="V504" s="421"/>
    </row>
    <row r="505" spans="1:22">
      <c r="A505" s="416"/>
      <c r="B505" s="417"/>
      <c r="C505" s="418"/>
      <c r="D505" s="419"/>
      <c r="E505" s="419"/>
      <c r="F505" s="419"/>
      <c r="G505" s="419"/>
      <c r="H505" s="419"/>
      <c r="I505" s="419"/>
      <c r="J505" s="420"/>
      <c r="K505" s="420"/>
      <c r="L505" s="419"/>
      <c r="M505" s="419"/>
      <c r="N505" s="419"/>
      <c r="O505" s="420"/>
      <c r="P505" s="420"/>
      <c r="Q505" s="419"/>
      <c r="R505" s="420"/>
      <c r="S505" s="420"/>
      <c r="T505" s="420"/>
      <c r="U505" s="420"/>
      <c r="V505" s="421"/>
    </row>
    <row r="506" spans="1:22">
      <c r="A506" s="416"/>
      <c r="B506" s="422"/>
      <c r="C506" s="423"/>
      <c r="D506" s="424"/>
      <c r="E506" s="424"/>
      <c r="F506" s="424"/>
      <c r="G506" s="424"/>
      <c r="H506" s="424"/>
      <c r="I506" s="424"/>
      <c r="J506" s="426"/>
      <c r="K506" s="426"/>
      <c r="L506" s="424"/>
      <c r="M506" s="424"/>
      <c r="N506" s="424"/>
      <c r="O506" s="426"/>
      <c r="P506" s="426"/>
      <c r="Q506" s="424"/>
      <c r="R506" s="426"/>
      <c r="S506" s="426"/>
      <c r="T506" s="426"/>
      <c r="U506" s="426"/>
      <c r="V506" s="421"/>
    </row>
    <row r="507" spans="1:22">
      <c r="A507" s="416"/>
      <c r="B507" s="394"/>
      <c r="C507" s="413"/>
      <c r="D507" s="414"/>
      <c r="E507" s="414"/>
      <c r="F507" s="414"/>
      <c r="G507" s="414"/>
      <c r="H507" s="414"/>
      <c r="I507" s="414"/>
      <c r="J507" s="415"/>
      <c r="K507" s="415"/>
      <c r="L507" s="414"/>
      <c r="M507" s="414"/>
      <c r="N507" s="414"/>
      <c r="O507" s="415"/>
      <c r="P507" s="415"/>
      <c r="Q507" s="414"/>
      <c r="R507" s="415"/>
      <c r="S507" s="415"/>
      <c r="T507" s="415"/>
      <c r="U507" s="415"/>
      <c r="V507" s="421"/>
    </row>
    <row r="508" spans="1:22">
      <c r="A508" s="416"/>
      <c r="B508" s="417"/>
      <c r="C508" s="418"/>
      <c r="D508" s="419"/>
      <c r="E508" s="419"/>
      <c r="F508" s="419"/>
      <c r="G508" s="419"/>
      <c r="H508" s="419"/>
      <c r="I508" s="419"/>
      <c r="J508" s="420"/>
      <c r="K508" s="420"/>
      <c r="L508" s="419"/>
      <c r="M508" s="419"/>
      <c r="N508" s="419"/>
      <c r="O508" s="420"/>
      <c r="P508" s="420"/>
      <c r="Q508" s="419"/>
      <c r="R508" s="420"/>
      <c r="S508" s="420"/>
      <c r="T508" s="420"/>
      <c r="U508" s="420"/>
      <c r="V508" s="421"/>
    </row>
    <row r="509" spans="1:22" ht="15" thickBot="1">
      <c r="A509" s="432"/>
      <c r="B509" s="433"/>
      <c r="C509" s="434"/>
      <c r="D509" s="435"/>
      <c r="E509" s="435"/>
      <c r="F509" s="435"/>
      <c r="G509" s="435"/>
      <c r="H509" s="435"/>
      <c r="I509" s="435"/>
      <c r="J509" s="436"/>
      <c r="K509" s="436"/>
      <c r="L509" s="435"/>
      <c r="M509" s="435"/>
      <c r="N509" s="435"/>
      <c r="O509" s="436"/>
      <c r="P509" s="436"/>
      <c r="Q509" s="435"/>
      <c r="R509" s="436"/>
      <c r="S509" s="436"/>
      <c r="T509" s="436"/>
      <c r="U509" s="436"/>
      <c r="V509" s="421"/>
    </row>
    <row r="510" spans="1:22">
      <c r="A510" s="412"/>
      <c r="B510" s="394"/>
      <c r="C510" s="413"/>
      <c r="D510" s="414"/>
      <c r="E510" s="414"/>
      <c r="F510" s="414"/>
      <c r="G510" s="414"/>
      <c r="H510" s="414"/>
      <c r="I510" s="414"/>
      <c r="J510" s="415"/>
      <c r="K510" s="415"/>
      <c r="L510" s="414"/>
      <c r="M510" s="414"/>
      <c r="N510" s="414"/>
      <c r="O510" s="415"/>
      <c r="P510" s="415"/>
      <c r="Q510" s="414"/>
      <c r="R510" s="415"/>
      <c r="S510" s="415"/>
      <c r="T510" s="415"/>
      <c r="U510" s="415"/>
      <c r="V510" s="421"/>
    </row>
    <row r="511" spans="1:22">
      <c r="A511" s="416"/>
      <c r="B511" s="417"/>
      <c r="C511" s="418"/>
      <c r="D511" s="419"/>
      <c r="E511" s="419"/>
      <c r="F511" s="419"/>
      <c r="G511" s="419"/>
      <c r="H511" s="419"/>
      <c r="I511" s="419"/>
      <c r="J511" s="420"/>
      <c r="K511" s="420"/>
      <c r="L511" s="419"/>
      <c r="M511" s="419"/>
      <c r="N511" s="419"/>
      <c r="O511" s="420"/>
      <c r="P511" s="420"/>
      <c r="Q511" s="419"/>
      <c r="R511" s="420"/>
      <c r="S511" s="420"/>
      <c r="T511" s="420"/>
      <c r="U511" s="420"/>
      <c r="V511" s="421"/>
    </row>
    <row r="512" spans="1:22">
      <c r="A512" s="416"/>
      <c r="B512" s="422"/>
      <c r="C512" s="423"/>
      <c r="D512" s="424"/>
      <c r="E512" s="424"/>
      <c r="F512" s="424"/>
      <c r="G512" s="424"/>
      <c r="H512" s="424"/>
      <c r="I512" s="424"/>
      <c r="J512" s="426"/>
      <c r="K512" s="426"/>
      <c r="L512" s="424"/>
      <c r="M512" s="424"/>
      <c r="N512" s="424"/>
      <c r="O512" s="426"/>
      <c r="P512" s="426"/>
      <c r="Q512" s="424"/>
      <c r="R512" s="426"/>
      <c r="S512" s="426"/>
      <c r="T512" s="426"/>
      <c r="U512" s="426"/>
      <c r="V512" s="421"/>
    </row>
    <row r="513" spans="1:22">
      <c r="A513" s="416"/>
      <c r="B513" s="394"/>
      <c r="C513" s="413"/>
      <c r="D513" s="414"/>
      <c r="E513" s="414"/>
      <c r="F513" s="414"/>
      <c r="G513" s="414"/>
      <c r="H513" s="414"/>
      <c r="I513" s="414"/>
      <c r="J513" s="415"/>
      <c r="K513" s="415"/>
      <c r="L513" s="414"/>
      <c r="M513" s="414"/>
      <c r="N513" s="414"/>
      <c r="O513" s="415"/>
      <c r="P513" s="415"/>
      <c r="Q513" s="414"/>
      <c r="R513" s="415"/>
      <c r="S513" s="415"/>
      <c r="T513" s="415"/>
      <c r="U513" s="415"/>
      <c r="V513" s="421"/>
    </row>
    <row r="514" spans="1:22">
      <c r="A514" s="416"/>
      <c r="B514" s="417"/>
      <c r="C514" s="418"/>
      <c r="D514" s="419"/>
      <c r="E514" s="419"/>
      <c r="F514" s="419"/>
      <c r="G514" s="419"/>
      <c r="H514" s="419"/>
      <c r="I514" s="419"/>
      <c r="J514" s="420"/>
      <c r="K514" s="420"/>
      <c r="L514" s="419"/>
      <c r="M514" s="419"/>
      <c r="N514" s="419"/>
      <c r="O514" s="420"/>
      <c r="P514" s="420"/>
      <c r="Q514" s="419"/>
      <c r="R514" s="420"/>
      <c r="S514" s="420"/>
      <c r="T514" s="420"/>
      <c r="U514" s="420"/>
      <c r="V514" s="421"/>
    </row>
    <row r="515" spans="1:22">
      <c r="A515" s="416"/>
      <c r="B515" s="422"/>
      <c r="C515" s="423"/>
      <c r="D515" s="424"/>
      <c r="E515" s="424"/>
      <c r="F515" s="424"/>
      <c r="G515" s="424"/>
      <c r="H515" s="424"/>
      <c r="I515" s="424"/>
      <c r="J515" s="426"/>
      <c r="K515" s="426"/>
      <c r="L515" s="424"/>
      <c r="M515" s="424"/>
      <c r="N515" s="424"/>
      <c r="O515" s="426"/>
      <c r="P515" s="426"/>
      <c r="Q515" s="424"/>
      <c r="R515" s="426"/>
      <c r="S515" s="426"/>
      <c r="T515" s="426"/>
      <c r="U515" s="426"/>
      <c r="V515" s="421"/>
    </row>
    <row r="516" spans="1:22">
      <c r="A516" s="416"/>
      <c r="B516" s="394"/>
      <c r="C516" s="413"/>
      <c r="D516" s="414"/>
      <c r="E516" s="414"/>
      <c r="F516" s="414"/>
      <c r="G516" s="414"/>
      <c r="H516" s="414"/>
      <c r="I516" s="414"/>
      <c r="J516" s="415"/>
      <c r="K516" s="415"/>
      <c r="L516" s="414"/>
      <c r="M516" s="414"/>
      <c r="N516" s="414"/>
      <c r="O516" s="415"/>
      <c r="P516" s="415"/>
      <c r="Q516" s="414"/>
      <c r="R516" s="415"/>
      <c r="S516" s="415"/>
      <c r="T516" s="415"/>
      <c r="U516" s="415"/>
      <c r="V516" s="421"/>
    </row>
    <row r="517" spans="1:22">
      <c r="A517" s="416"/>
      <c r="B517" s="417"/>
      <c r="C517" s="418"/>
      <c r="D517" s="419"/>
      <c r="E517" s="419"/>
      <c r="F517" s="419"/>
      <c r="G517" s="419"/>
      <c r="H517" s="419"/>
      <c r="I517" s="419"/>
      <c r="J517" s="420"/>
      <c r="K517" s="420"/>
      <c r="L517" s="419"/>
      <c r="M517" s="419"/>
      <c r="N517" s="419"/>
      <c r="O517" s="420"/>
      <c r="P517" s="420"/>
      <c r="Q517" s="419"/>
      <c r="R517" s="420"/>
      <c r="S517" s="420"/>
      <c r="T517" s="420"/>
      <c r="U517" s="420"/>
      <c r="V517" s="421"/>
    </row>
    <row r="518" spans="1:22">
      <c r="A518" s="416"/>
      <c r="B518" s="422"/>
      <c r="C518" s="423"/>
      <c r="D518" s="424"/>
      <c r="E518" s="424"/>
      <c r="F518" s="424"/>
      <c r="G518" s="424"/>
      <c r="H518" s="424"/>
      <c r="I518" s="424"/>
      <c r="J518" s="426"/>
      <c r="K518" s="426"/>
      <c r="L518" s="424"/>
      <c r="M518" s="424"/>
      <c r="N518" s="424"/>
      <c r="O518" s="426"/>
      <c r="P518" s="426"/>
      <c r="Q518" s="424"/>
      <c r="R518" s="426"/>
      <c r="S518" s="426"/>
      <c r="T518" s="426"/>
      <c r="U518" s="426"/>
      <c r="V518" s="421"/>
    </row>
    <row r="519" spans="1:22">
      <c r="A519" s="416"/>
      <c r="B519" s="394"/>
      <c r="C519" s="413"/>
      <c r="D519" s="414"/>
      <c r="E519" s="414"/>
      <c r="F519" s="414"/>
      <c r="G519" s="414"/>
      <c r="H519" s="414"/>
      <c r="I519" s="414"/>
      <c r="J519" s="415"/>
      <c r="K519" s="415"/>
      <c r="L519" s="414"/>
      <c r="M519" s="414"/>
      <c r="N519" s="414"/>
      <c r="O519" s="415"/>
      <c r="P519" s="415"/>
      <c r="Q519" s="414"/>
      <c r="R519" s="415"/>
      <c r="S519" s="415"/>
      <c r="T519" s="415"/>
      <c r="U519" s="415"/>
      <c r="V519" s="421"/>
    </row>
    <row r="520" spans="1:22">
      <c r="A520" s="416"/>
      <c r="B520" s="417"/>
      <c r="C520" s="418"/>
      <c r="D520" s="419"/>
      <c r="E520" s="419"/>
      <c r="F520" s="419"/>
      <c r="G520" s="419"/>
      <c r="H520" s="419"/>
      <c r="I520" s="419"/>
      <c r="J520" s="420"/>
      <c r="K520" s="420"/>
      <c r="L520" s="419"/>
      <c r="M520" s="419"/>
      <c r="N520" s="419"/>
      <c r="O520" s="420"/>
      <c r="P520" s="420"/>
      <c r="Q520" s="419"/>
      <c r="R520" s="420"/>
      <c r="S520" s="420"/>
      <c r="T520" s="420"/>
      <c r="U520" s="420"/>
      <c r="V520" s="421"/>
    </row>
    <row r="521" spans="1:22">
      <c r="A521" s="416"/>
      <c r="B521" s="422"/>
      <c r="C521" s="423"/>
      <c r="D521" s="424"/>
      <c r="E521" s="424"/>
      <c r="F521" s="424"/>
      <c r="G521" s="424"/>
      <c r="H521" s="424"/>
      <c r="I521" s="424"/>
      <c r="J521" s="426"/>
      <c r="K521" s="426"/>
      <c r="L521" s="424"/>
      <c r="M521" s="424"/>
      <c r="N521" s="424"/>
      <c r="O521" s="426"/>
      <c r="P521" s="426"/>
      <c r="Q521" s="424"/>
      <c r="R521" s="426"/>
      <c r="S521" s="426"/>
      <c r="T521" s="426"/>
      <c r="U521" s="426"/>
      <c r="V521" s="421"/>
    </row>
    <row r="522" spans="1:22">
      <c r="A522" s="416"/>
      <c r="B522" s="394"/>
      <c r="C522" s="413"/>
      <c r="D522" s="414"/>
      <c r="E522" s="414"/>
      <c r="F522" s="414"/>
      <c r="G522" s="414"/>
      <c r="H522" s="414"/>
      <c r="I522" s="414"/>
      <c r="J522" s="415"/>
      <c r="K522" s="415"/>
      <c r="L522" s="414"/>
      <c r="M522" s="414"/>
      <c r="N522" s="414"/>
      <c r="O522" s="415"/>
      <c r="P522" s="415"/>
      <c r="Q522" s="414"/>
      <c r="R522" s="415"/>
      <c r="S522" s="415"/>
      <c r="T522" s="415"/>
      <c r="U522" s="415"/>
      <c r="V522" s="421"/>
    </row>
    <row r="523" spans="1:22">
      <c r="A523" s="416"/>
      <c r="B523" s="417"/>
      <c r="C523" s="418"/>
      <c r="D523" s="419"/>
      <c r="E523" s="419"/>
      <c r="F523" s="419"/>
      <c r="G523" s="419"/>
      <c r="H523" s="419"/>
      <c r="I523" s="419"/>
      <c r="J523" s="420"/>
      <c r="K523" s="420"/>
      <c r="L523" s="419"/>
      <c r="M523" s="419"/>
      <c r="N523" s="419"/>
      <c r="O523" s="420"/>
      <c r="P523" s="420"/>
      <c r="Q523" s="419"/>
      <c r="R523" s="420"/>
      <c r="S523" s="420"/>
      <c r="T523" s="420"/>
      <c r="U523" s="420"/>
      <c r="V523" s="421"/>
    </row>
    <row r="524" spans="1:22">
      <c r="A524" s="416"/>
      <c r="B524" s="422"/>
      <c r="C524" s="423"/>
      <c r="D524" s="424"/>
      <c r="E524" s="424"/>
      <c r="F524" s="424"/>
      <c r="G524" s="424"/>
      <c r="H524" s="424"/>
      <c r="I524" s="424"/>
      <c r="J524" s="426"/>
      <c r="K524" s="426"/>
      <c r="L524" s="424"/>
      <c r="M524" s="424"/>
      <c r="N524" s="424"/>
      <c r="O524" s="426"/>
      <c r="P524" s="426"/>
      <c r="Q524" s="424"/>
      <c r="R524" s="426"/>
      <c r="S524" s="426"/>
      <c r="T524" s="426"/>
      <c r="U524" s="426"/>
      <c r="V524" s="421"/>
    </row>
    <row r="525" spans="1:22">
      <c r="A525" s="416"/>
      <c r="B525" s="394"/>
      <c r="C525" s="413"/>
      <c r="D525" s="414"/>
      <c r="E525" s="414"/>
      <c r="F525" s="414"/>
      <c r="G525" s="414"/>
      <c r="H525" s="414"/>
      <c r="I525" s="414"/>
      <c r="J525" s="415"/>
      <c r="K525" s="415"/>
      <c r="L525" s="414"/>
      <c r="M525" s="414"/>
      <c r="N525" s="414"/>
      <c r="O525" s="415"/>
      <c r="P525" s="415"/>
      <c r="Q525" s="414"/>
      <c r="R525" s="415"/>
      <c r="S525" s="415"/>
      <c r="T525" s="415"/>
      <c r="U525" s="415"/>
      <c r="V525" s="421"/>
    </row>
    <row r="526" spans="1:22">
      <c r="A526" s="416"/>
      <c r="B526" s="417"/>
      <c r="C526" s="418"/>
      <c r="D526" s="419"/>
      <c r="E526" s="419"/>
      <c r="F526" s="419"/>
      <c r="G526" s="419"/>
      <c r="H526" s="419"/>
      <c r="I526" s="419"/>
      <c r="J526" s="420"/>
      <c r="K526" s="420"/>
      <c r="L526" s="419"/>
      <c r="M526" s="419"/>
      <c r="N526" s="419"/>
      <c r="O526" s="420"/>
      <c r="P526" s="420"/>
      <c r="Q526" s="419"/>
      <c r="R526" s="420"/>
      <c r="S526" s="420"/>
      <c r="T526" s="420"/>
      <c r="U526" s="420"/>
      <c r="V526" s="421"/>
    </row>
    <row r="527" spans="1:22" ht="15" thickBot="1">
      <c r="A527" s="416"/>
      <c r="B527" s="428"/>
      <c r="C527" s="429"/>
      <c r="D527" s="430"/>
      <c r="E527" s="430"/>
      <c r="F527" s="430"/>
      <c r="G527" s="430"/>
      <c r="H527" s="430"/>
      <c r="I527" s="430"/>
      <c r="J527" s="431"/>
      <c r="K527" s="431"/>
      <c r="L527" s="430"/>
      <c r="M527" s="430"/>
      <c r="N527" s="430"/>
      <c r="O527" s="431"/>
      <c r="P527" s="431"/>
      <c r="Q527" s="430"/>
      <c r="R527" s="431"/>
      <c r="S527" s="431"/>
      <c r="T527" s="431"/>
      <c r="U527" s="431"/>
      <c r="V527" s="421"/>
    </row>
    <row r="528" spans="1:22" ht="15" thickTop="1">
      <c r="A528" s="416"/>
      <c r="B528" s="417"/>
      <c r="C528" s="418"/>
      <c r="D528" s="419"/>
      <c r="E528" s="419"/>
      <c r="F528" s="419"/>
      <c r="G528" s="419"/>
      <c r="H528" s="419"/>
      <c r="I528" s="419"/>
      <c r="J528" s="420"/>
      <c r="K528" s="420"/>
      <c r="L528" s="419"/>
      <c r="M528" s="419"/>
      <c r="N528" s="419"/>
      <c r="O528" s="420"/>
      <c r="P528" s="420"/>
      <c r="Q528" s="419"/>
      <c r="R528" s="420"/>
      <c r="S528" s="420"/>
      <c r="T528" s="420"/>
      <c r="U528" s="420"/>
      <c r="V528" s="421"/>
    </row>
    <row r="529" spans="1:22">
      <c r="A529" s="416"/>
      <c r="B529" s="417"/>
      <c r="C529" s="418"/>
      <c r="D529" s="419"/>
      <c r="E529" s="419"/>
      <c r="F529" s="419"/>
      <c r="G529" s="419"/>
      <c r="H529" s="419"/>
      <c r="I529" s="419"/>
      <c r="J529" s="420"/>
      <c r="K529" s="420"/>
      <c r="L529" s="419"/>
      <c r="M529" s="419"/>
      <c r="N529" s="419"/>
      <c r="O529" s="420"/>
      <c r="P529" s="420"/>
      <c r="Q529" s="419"/>
      <c r="R529" s="420"/>
      <c r="S529" s="420"/>
      <c r="T529" s="420"/>
      <c r="U529" s="420"/>
      <c r="V529" s="421"/>
    </row>
    <row r="530" spans="1:22">
      <c r="A530" s="416"/>
      <c r="B530" s="422"/>
      <c r="C530" s="423"/>
      <c r="D530" s="424"/>
      <c r="E530" s="424"/>
      <c r="F530" s="424"/>
      <c r="G530" s="424"/>
      <c r="H530" s="424"/>
      <c r="I530" s="424"/>
      <c r="J530" s="426"/>
      <c r="K530" s="426"/>
      <c r="L530" s="424"/>
      <c r="M530" s="424"/>
      <c r="N530" s="424"/>
      <c r="O530" s="426"/>
      <c r="P530" s="426"/>
      <c r="Q530" s="424"/>
      <c r="R530" s="426"/>
      <c r="S530" s="426"/>
      <c r="T530" s="426"/>
      <c r="U530" s="426"/>
      <c r="V530" s="421"/>
    </row>
    <row r="531" spans="1:22">
      <c r="A531" s="416"/>
      <c r="B531" s="394"/>
      <c r="C531" s="413"/>
      <c r="D531" s="414"/>
      <c r="E531" s="414"/>
      <c r="F531" s="414"/>
      <c r="G531" s="414"/>
      <c r="H531" s="414"/>
      <c r="I531" s="414"/>
      <c r="J531" s="415"/>
      <c r="K531" s="415"/>
      <c r="L531" s="414"/>
      <c r="M531" s="414"/>
      <c r="N531" s="414"/>
      <c r="O531" s="415"/>
      <c r="P531" s="415"/>
      <c r="Q531" s="414"/>
      <c r="R531" s="415"/>
      <c r="S531" s="415"/>
      <c r="T531" s="415"/>
      <c r="U531" s="415"/>
      <c r="V531" s="421"/>
    </row>
    <row r="532" spans="1:22">
      <c r="A532" s="416"/>
      <c r="B532" s="417"/>
      <c r="C532" s="418"/>
      <c r="D532" s="419"/>
      <c r="E532" s="419"/>
      <c r="F532" s="419"/>
      <c r="G532" s="419"/>
      <c r="H532" s="419"/>
      <c r="I532" s="419"/>
      <c r="J532" s="420"/>
      <c r="K532" s="420"/>
      <c r="L532" s="419"/>
      <c r="M532" s="419"/>
      <c r="N532" s="419"/>
      <c r="O532" s="420"/>
      <c r="P532" s="420"/>
      <c r="Q532" s="419"/>
      <c r="R532" s="420"/>
      <c r="S532" s="420"/>
      <c r="T532" s="420"/>
      <c r="U532" s="420"/>
      <c r="V532" s="421"/>
    </row>
    <row r="533" spans="1:22">
      <c r="A533" s="416"/>
      <c r="B533" s="422"/>
      <c r="C533" s="423"/>
      <c r="D533" s="424"/>
      <c r="E533" s="424"/>
      <c r="F533" s="424"/>
      <c r="G533" s="424"/>
      <c r="H533" s="424"/>
      <c r="I533" s="424"/>
      <c r="J533" s="426"/>
      <c r="K533" s="426"/>
      <c r="L533" s="424"/>
      <c r="M533" s="424"/>
      <c r="N533" s="424"/>
      <c r="O533" s="426"/>
      <c r="P533" s="426"/>
      <c r="Q533" s="424"/>
      <c r="R533" s="426"/>
      <c r="S533" s="426"/>
      <c r="T533" s="426"/>
      <c r="U533" s="426"/>
      <c r="V533" s="421"/>
    </row>
    <row r="534" spans="1:22">
      <c r="A534" s="416"/>
      <c r="B534" s="394"/>
      <c r="C534" s="413"/>
      <c r="D534" s="414"/>
      <c r="E534" s="414"/>
      <c r="F534" s="414"/>
      <c r="G534" s="414"/>
      <c r="H534" s="414"/>
      <c r="I534" s="414"/>
      <c r="J534" s="415"/>
      <c r="K534" s="415"/>
      <c r="L534" s="414"/>
      <c r="M534" s="414"/>
      <c r="N534" s="414"/>
      <c r="O534" s="415"/>
      <c r="P534" s="415"/>
      <c r="Q534" s="414"/>
      <c r="R534" s="415"/>
      <c r="S534" s="415"/>
      <c r="T534" s="415"/>
      <c r="U534" s="415"/>
      <c r="V534" s="421"/>
    </row>
    <row r="535" spans="1:22">
      <c r="A535" s="416"/>
      <c r="B535" s="417"/>
      <c r="C535" s="418"/>
      <c r="D535" s="419"/>
      <c r="E535" s="419"/>
      <c r="F535" s="419"/>
      <c r="G535" s="419"/>
      <c r="H535" s="419"/>
      <c r="I535" s="419"/>
      <c r="J535" s="420"/>
      <c r="K535" s="420"/>
      <c r="L535" s="419"/>
      <c r="M535" s="419"/>
      <c r="N535" s="419"/>
      <c r="O535" s="420"/>
      <c r="P535" s="420"/>
      <c r="Q535" s="419"/>
      <c r="R535" s="420"/>
      <c r="S535" s="420"/>
      <c r="T535" s="420"/>
      <c r="U535" s="420"/>
      <c r="V535" s="421"/>
    </row>
    <row r="536" spans="1:22">
      <c r="A536" s="416"/>
      <c r="B536" s="422"/>
      <c r="C536" s="423"/>
      <c r="D536" s="424"/>
      <c r="E536" s="424"/>
      <c r="F536" s="424"/>
      <c r="G536" s="424"/>
      <c r="H536" s="424"/>
      <c r="I536" s="424"/>
      <c r="J536" s="426"/>
      <c r="K536" s="426"/>
      <c r="L536" s="424"/>
      <c r="M536" s="424"/>
      <c r="N536" s="424"/>
      <c r="O536" s="426"/>
      <c r="P536" s="426"/>
      <c r="Q536" s="424"/>
      <c r="R536" s="426"/>
      <c r="S536" s="426"/>
      <c r="T536" s="426"/>
      <c r="U536" s="426"/>
      <c r="V536" s="421"/>
    </row>
    <row r="537" spans="1:22">
      <c r="A537" s="416"/>
      <c r="B537" s="394"/>
      <c r="C537" s="413"/>
      <c r="D537" s="414"/>
      <c r="E537" s="414"/>
      <c r="F537" s="414"/>
      <c r="G537" s="414"/>
      <c r="H537" s="414"/>
      <c r="I537" s="414"/>
      <c r="J537" s="415"/>
      <c r="K537" s="415"/>
      <c r="L537" s="414"/>
      <c r="M537" s="414"/>
      <c r="N537" s="414"/>
      <c r="O537" s="415"/>
      <c r="P537" s="415"/>
      <c r="Q537" s="414"/>
      <c r="R537" s="415"/>
      <c r="S537" s="415"/>
      <c r="T537" s="415"/>
      <c r="U537" s="415"/>
      <c r="V537" s="421"/>
    </row>
    <row r="538" spans="1:22">
      <c r="A538" s="416"/>
      <c r="B538" s="417"/>
      <c r="C538" s="418"/>
      <c r="D538" s="419"/>
      <c r="E538" s="419"/>
      <c r="F538" s="419"/>
      <c r="G538" s="419"/>
      <c r="H538" s="419"/>
      <c r="I538" s="419"/>
      <c r="J538" s="420"/>
      <c r="K538" s="420"/>
      <c r="L538" s="419"/>
      <c r="M538" s="419"/>
      <c r="N538" s="419"/>
      <c r="O538" s="420"/>
      <c r="P538" s="420"/>
      <c r="Q538" s="419"/>
      <c r="R538" s="420"/>
      <c r="S538" s="420"/>
      <c r="T538" s="420"/>
      <c r="U538" s="420"/>
      <c r="V538" s="421"/>
    </row>
    <row r="539" spans="1:22">
      <c r="A539" s="416"/>
      <c r="B539" s="422"/>
      <c r="C539" s="423"/>
      <c r="D539" s="424"/>
      <c r="E539" s="424"/>
      <c r="F539" s="424"/>
      <c r="G539" s="424"/>
      <c r="H539" s="424"/>
      <c r="I539" s="424"/>
      <c r="J539" s="426"/>
      <c r="K539" s="426"/>
      <c r="L539" s="424"/>
      <c r="M539" s="424"/>
      <c r="N539" s="424"/>
      <c r="O539" s="426"/>
      <c r="P539" s="426"/>
      <c r="Q539" s="424"/>
      <c r="R539" s="426"/>
      <c r="S539" s="426"/>
      <c r="T539" s="426"/>
      <c r="U539" s="426"/>
      <c r="V539" s="421"/>
    </row>
    <row r="540" spans="1:22">
      <c r="A540" s="416"/>
      <c r="B540" s="394"/>
      <c r="C540" s="413"/>
      <c r="D540" s="414"/>
      <c r="E540" s="414"/>
      <c r="F540" s="414"/>
      <c r="G540" s="414"/>
      <c r="H540" s="414"/>
      <c r="I540" s="414"/>
      <c r="J540" s="415"/>
      <c r="K540" s="415"/>
      <c r="L540" s="414"/>
      <c r="M540" s="414"/>
      <c r="N540" s="414"/>
      <c r="O540" s="415"/>
      <c r="P540" s="415"/>
      <c r="Q540" s="414"/>
      <c r="R540" s="415"/>
      <c r="S540" s="415"/>
      <c r="T540" s="415"/>
      <c r="U540" s="415"/>
      <c r="V540" s="421"/>
    </row>
    <row r="541" spans="1:22">
      <c r="A541" s="416"/>
      <c r="B541" s="417"/>
      <c r="C541" s="418"/>
      <c r="D541" s="419"/>
      <c r="E541" s="419"/>
      <c r="F541" s="419"/>
      <c r="G541" s="419"/>
      <c r="H541" s="419"/>
      <c r="I541" s="419"/>
      <c r="J541" s="420"/>
      <c r="K541" s="420"/>
      <c r="L541" s="419"/>
      <c r="M541" s="419"/>
      <c r="N541" s="419"/>
      <c r="O541" s="420"/>
      <c r="P541" s="420"/>
      <c r="Q541" s="419"/>
      <c r="R541" s="420"/>
      <c r="S541" s="420"/>
      <c r="T541" s="420"/>
      <c r="U541" s="420"/>
      <c r="V541" s="421"/>
    </row>
    <row r="542" spans="1:22">
      <c r="A542" s="416"/>
      <c r="B542" s="422"/>
      <c r="C542" s="423"/>
      <c r="D542" s="424"/>
      <c r="E542" s="424"/>
      <c r="F542" s="424"/>
      <c r="G542" s="424"/>
      <c r="H542" s="424"/>
      <c r="I542" s="424"/>
      <c r="J542" s="426"/>
      <c r="K542" s="426"/>
      <c r="L542" s="424"/>
      <c r="M542" s="424"/>
      <c r="N542" s="424"/>
      <c r="O542" s="426"/>
      <c r="P542" s="426"/>
      <c r="Q542" s="424"/>
      <c r="R542" s="426"/>
      <c r="S542" s="426"/>
      <c r="T542" s="426"/>
      <c r="U542" s="426"/>
      <c r="V542" s="421"/>
    </row>
    <row r="543" spans="1:22">
      <c r="A543" s="416"/>
      <c r="B543" s="394"/>
      <c r="C543" s="413"/>
      <c r="D543" s="414"/>
      <c r="E543" s="414"/>
      <c r="F543" s="414"/>
      <c r="G543" s="414"/>
      <c r="H543" s="414"/>
      <c r="I543" s="414"/>
      <c r="J543" s="415"/>
      <c r="K543" s="415"/>
      <c r="L543" s="414"/>
      <c r="M543" s="414"/>
      <c r="N543" s="414"/>
      <c r="O543" s="415"/>
      <c r="P543" s="415"/>
      <c r="Q543" s="414"/>
      <c r="R543" s="415"/>
      <c r="S543" s="415"/>
      <c r="T543" s="415"/>
      <c r="U543" s="415"/>
      <c r="V543" s="421"/>
    </row>
    <row r="544" spans="1:22">
      <c r="A544" s="416"/>
      <c r="B544" s="417"/>
      <c r="C544" s="418"/>
      <c r="D544" s="419"/>
      <c r="E544" s="419"/>
      <c r="F544" s="419"/>
      <c r="G544" s="419"/>
      <c r="H544" s="419"/>
      <c r="I544" s="419"/>
      <c r="J544" s="420"/>
      <c r="K544" s="420"/>
      <c r="L544" s="419"/>
      <c r="M544" s="419"/>
      <c r="N544" s="419"/>
      <c r="O544" s="420"/>
      <c r="P544" s="420"/>
      <c r="Q544" s="419"/>
      <c r="R544" s="420"/>
      <c r="S544" s="420"/>
      <c r="T544" s="420"/>
      <c r="U544" s="420"/>
      <c r="V544" s="421"/>
    </row>
    <row r="545" spans="1:22" ht="15" thickBot="1">
      <c r="A545" s="432"/>
      <c r="B545" s="433"/>
      <c r="C545" s="434"/>
      <c r="D545" s="435"/>
      <c r="E545" s="435"/>
      <c r="F545" s="435"/>
      <c r="G545" s="435"/>
      <c r="H545" s="435"/>
      <c r="I545" s="435"/>
      <c r="J545" s="436"/>
      <c r="K545" s="436"/>
      <c r="L545" s="435"/>
      <c r="M545" s="435"/>
      <c r="N545" s="435"/>
      <c r="O545" s="436"/>
      <c r="P545" s="436"/>
      <c r="Q545" s="435"/>
      <c r="R545" s="436"/>
      <c r="S545" s="436"/>
      <c r="T545" s="436"/>
      <c r="U545" s="436"/>
      <c r="V545" s="421"/>
    </row>
    <row r="546" spans="1:22">
      <c r="A546" s="412"/>
      <c r="B546" s="394"/>
      <c r="C546" s="413"/>
      <c r="D546" s="414"/>
      <c r="E546" s="414"/>
      <c r="F546" s="414"/>
      <c r="G546" s="414"/>
      <c r="H546" s="414"/>
      <c r="I546" s="414"/>
      <c r="J546" s="415"/>
      <c r="K546" s="415"/>
      <c r="L546" s="414"/>
      <c r="M546" s="414"/>
      <c r="N546" s="414"/>
      <c r="O546" s="415"/>
      <c r="P546" s="415"/>
      <c r="Q546" s="414"/>
      <c r="R546" s="415"/>
      <c r="S546" s="415"/>
      <c r="T546" s="415"/>
      <c r="U546" s="415"/>
      <c r="V546" s="421"/>
    </row>
    <row r="547" spans="1:22">
      <c r="A547" s="416"/>
      <c r="B547" s="417"/>
      <c r="C547" s="418"/>
      <c r="D547" s="419"/>
      <c r="E547" s="419"/>
      <c r="F547" s="419"/>
      <c r="G547" s="419"/>
      <c r="H547" s="419"/>
      <c r="I547" s="419"/>
      <c r="J547" s="420"/>
      <c r="K547" s="420"/>
      <c r="L547" s="419"/>
      <c r="M547" s="419"/>
      <c r="N547" s="419"/>
      <c r="O547" s="420"/>
      <c r="P547" s="420"/>
      <c r="Q547" s="419"/>
      <c r="R547" s="420"/>
      <c r="S547" s="420"/>
      <c r="T547" s="420"/>
      <c r="U547" s="420"/>
      <c r="V547" s="421"/>
    </row>
    <row r="548" spans="1:22">
      <c r="A548" s="416"/>
      <c r="B548" s="422"/>
      <c r="C548" s="423"/>
      <c r="D548" s="424"/>
      <c r="E548" s="424"/>
      <c r="F548" s="424"/>
      <c r="G548" s="424"/>
      <c r="H548" s="424"/>
      <c r="I548" s="424"/>
      <c r="J548" s="426"/>
      <c r="K548" s="426"/>
      <c r="L548" s="424"/>
      <c r="M548" s="424"/>
      <c r="N548" s="424"/>
      <c r="O548" s="426"/>
      <c r="P548" s="426"/>
      <c r="Q548" s="424"/>
      <c r="R548" s="426"/>
      <c r="S548" s="426"/>
      <c r="T548" s="426"/>
      <c r="U548" s="426"/>
      <c r="V548" s="421"/>
    </row>
    <row r="549" spans="1:22">
      <c r="A549" s="416"/>
      <c r="B549" s="394"/>
      <c r="C549" s="413"/>
      <c r="D549" s="414"/>
      <c r="E549" s="414"/>
      <c r="F549" s="414"/>
      <c r="G549" s="414"/>
      <c r="H549" s="414"/>
      <c r="I549" s="414"/>
      <c r="J549" s="415"/>
      <c r="K549" s="415"/>
      <c r="L549" s="414"/>
      <c r="M549" s="414"/>
      <c r="N549" s="414"/>
      <c r="O549" s="415"/>
      <c r="P549" s="415"/>
      <c r="Q549" s="414"/>
      <c r="R549" s="415"/>
      <c r="S549" s="415"/>
      <c r="T549" s="415"/>
      <c r="U549" s="415"/>
      <c r="V549" s="421"/>
    </row>
    <row r="550" spans="1:22">
      <c r="A550" s="416"/>
      <c r="B550" s="417"/>
      <c r="C550" s="418"/>
      <c r="D550" s="419"/>
      <c r="E550" s="419"/>
      <c r="F550" s="419"/>
      <c r="G550" s="419"/>
      <c r="H550" s="419"/>
      <c r="I550" s="419"/>
      <c r="J550" s="420"/>
      <c r="K550" s="420"/>
      <c r="L550" s="419"/>
      <c r="M550" s="419"/>
      <c r="N550" s="419"/>
      <c r="O550" s="420"/>
      <c r="P550" s="420"/>
      <c r="Q550" s="419"/>
      <c r="R550" s="420"/>
      <c r="S550" s="420"/>
      <c r="T550" s="420"/>
      <c r="U550" s="420"/>
      <c r="V550" s="421"/>
    </row>
    <row r="551" spans="1:22">
      <c r="A551" s="416"/>
      <c r="B551" s="422"/>
      <c r="C551" s="423"/>
      <c r="D551" s="424"/>
      <c r="E551" s="424"/>
      <c r="F551" s="424"/>
      <c r="G551" s="424"/>
      <c r="H551" s="424"/>
      <c r="I551" s="424"/>
      <c r="J551" s="426"/>
      <c r="K551" s="426"/>
      <c r="L551" s="424"/>
      <c r="M551" s="424"/>
      <c r="N551" s="424"/>
      <c r="O551" s="426"/>
      <c r="P551" s="426"/>
      <c r="Q551" s="424"/>
      <c r="R551" s="426"/>
      <c r="S551" s="426"/>
      <c r="T551" s="426"/>
      <c r="U551" s="426"/>
      <c r="V551" s="421"/>
    </row>
    <row r="552" spans="1:22">
      <c r="A552" s="416"/>
      <c r="B552" s="394"/>
      <c r="C552" s="413"/>
      <c r="D552" s="414"/>
      <c r="E552" s="414"/>
      <c r="F552" s="414"/>
      <c r="G552" s="414"/>
      <c r="H552" s="414"/>
      <c r="I552" s="414"/>
      <c r="J552" s="415"/>
      <c r="K552" s="415"/>
      <c r="L552" s="414"/>
      <c r="M552" s="414"/>
      <c r="N552" s="414"/>
      <c r="O552" s="415"/>
      <c r="P552" s="415"/>
      <c r="Q552" s="414"/>
      <c r="R552" s="415"/>
      <c r="S552" s="415"/>
      <c r="T552" s="415"/>
      <c r="U552" s="415"/>
      <c r="V552" s="421"/>
    </row>
    <row r="553" spans="1:22">
      <c r="A553" s="416"/>
      <c r="B553" s="417"/>
      <c r="C553" s="418"/>
      <c r="D553" s="419"/>
      <c r="E553" s="419"/>
      <c r="F553" s="419"/>
      <c r="G553" s="419"/>
      <c r="H553" s="419"/>
      <c r="I553" s="419"/>
      <c r="J553" s="420"/>
      <c r="K553" s="420"/>
      <c r="L553" s="419"/>
      <c r="M553" s="419"/>
      <c r="N553" s="419"/>
      <c r="O553" s="420"/>
      <c r="P553" s="420"/>
      <c r="Q553" s="419"/>
      <c r="R553" s="420"/>
      <c r="S553" s="420"/>
      <c r="T553" s="420"/>
      <c r="U553" s="420"/>
      <c r="V553" s="421"/>
    </row>
    <row r="554" spans="1:22">
      <c r="A554" s="416"/>
      <c r="B554" s="422"/>
      <c r="C554" s="423"/>
      <c r="D554" s="424"/>
      <c r="E554" s="424"/>
      <c r="F554" s="424"/>
      <c r="G554" s="424"/>
      <c r="H554" s="424"/>
      <c r="I554" s="424"/>
      <c r="J554" s="426"/>
      <c r="K554" s="426"/>
      <c r="L554" s="424"/>
      <c r="M554" s="424"/>
      <c r="N554" s="424"/>
      <c r="O554" s="426"/>
      <c r="P554" s="426"/>
      <c r="Q554" s="424"/>
      <c r="R554" s="426"/>
      <c r="S554" s="426"/>
      <c r="T554" s="426"/>
      <c r="U554" s="426"/>
      <c r="V554" s="421"/>
    </row>
    <row r="555" spans="1:22">
      <c r="A555" s="416"/>
      <c r="B555" s="394"/>
      <c r="C555" s="413"/>
      <c r="D555" s="414"/>
      <c r="E555" s="414"/>
      <c r="F555" s="414"/>
      <c r="G555" s="414"/>
      <c r="H555" s="414"/>
      <c r="I555" s="414"/>
      <c r="J555" s="415"/>
      <c r="K555" s="415"/>
      <c r="L555" s="414"/>
      <c r="M555" s="414"/>
      <c r="N555" s="414"/>
      <c r="O555" s="415"/>
      <c r="P555" s="415"/>
      <c r="Q555" s="414"/>
      <c r="R555" s="415"/>
      <c r="S555" s="415"/>
      <c r="T555" s="415"/>
      <c r="U555" s="415"/>
      <c r="V555" s="421"/>
    </row>
    <row r="556" spans="1:22">
      <c r="A556" s="416"/>
      <c r="B556" s="417"/>
      <c r="C556" s="418"/>
      <c r="D556" s="419"/>
      <c r="E556" s="419"/>
      <c r="F556" s="419"/>
      <c r="G556" s="419"/>
      <c r="H556" s="419"/>
      <c r="I556" s="419"/>
      <c r="J556" s="420"/>
      <c r="K556" s="420"/>
      <c r="L556" s="419"/>
      <c r="M556" s="419"/>
      <c r="N556" s="419"/>
      <c r="O556" s="420"/>
      <c r="P556" s="420"/>
      <c r="Q556" s="419"/>
      <c r="R556" s="420"/>
      <c r="S556" s="420"/>
      <c r="T556" s="420"/>
      <c r="U556" s="420"/>
      <c r="V556" s="421"/>
    </row>
    <row r="557" spans="1:22">
      <c r="A557" s="416"/>
      <c r="B557" s="422"/>
      <c r="C557" s="423"/>
      <c r="D557" s="424"/>
      <c r="E557" s="424"/>
      <c r="F557" s="424"/>
      <c r="G557" s="424"/>
      <c r="H557" s="424"/>
      <c r="I557" s="424"/>
      <c r="J557" s="426"/>
      <c r="K557" s="426"/>
      <c r="L557" s="424"/>
      <c r="M557" s="424"/>
      <c r="N557" s="424"/>
      <c r="O557" s="426"/>
      <c r="P557" s="426"/>
      <c r="Q557" s="424"/>
      <c r="R557" s="426"/>
      <c r="S557" s="426"/>
      <c r="T557" s="426"/>
      <c r="U557" s="426"/>
      <c r="V557" s="421"/>
    </row>
    <row r="558" spans="1:22">
      <c r="A558" s="416"/>
      <c r="B558" s="394"/>
      <c r="C558" s="413"/>
      <c r="D558" s="414"/>
      <c r="E558" s="414"/>
      <c r="F558" s="414"/>
      <c r="G558" s="414"/>
      <c r="H558" s="414"/>
      <c r="I558" s="414"/>
      <c r="J558" s="415"/>
      <c r="K558" s="415"/>
      <c r="L558" s="414"/>
      <c r="M558" s="414"/>
      <c r="N558" s="414"/>
      <c r="O558" s="415"/>
      <c r="P558" s="415"/>
      <c r="Q558" s="414"/>
      <c r="R558" s="415"/>
      <c r="S558" s="415"/>
      <c r="T558" s="415"/>
      <c r="U558" s="415"/>
      <c r="V558" s="421"/>
    </row>
    <row r="559" spans="1:22">
      <c r="A559" s="416"/>
      <c r="B559" s="417"/>
      <c r="C559" s="418"/>
      <c r="D559" s="419"/>
      <c r="E559" s="419"/>
      <c r="F559" s="419"/>
      <c r="G559" s="419"/>
      <c r="H559" s="419"/>
      <c r="I559" s="419"/>
      <c r="J559" s="420"/>
      <c r="K559" s="420"/>
      <c r="L559" s="419"/>
      <c r="M559" s="419"/>
      <c r="N559" s="419"/>
      <c r="O559" s="420"/>
      <c r="P559" s="420"/>
      <c r="Q559" s="419"/>
      <c r="R559" s="420"/>
      <c r="S559" s="420"/>
      <c r="T559" s="420"/>
      <c r="U559" s="420"/>
      <c r="V559" s="421"/>
    </row>
    <row r="560" spans="1:22">
      <c r="A560" s="416"/>
      <c r="B560" s="422"/>
      <c r="C560" s="423"/>
      <c r="D560" s="424"/>
      <c r="E560" s="424"/>
      <c r="F560" s="424"/>
      <c r="G560" s="424"/>
      <c r="H560" s="424"/>
      <c r="I560" s="424"/>
      <c r="J560" s="426"/>
      <c r="K560" s="426"/>
      <c r="L560" s="424"/>
      <c r="M560" s="424"/>
      <c r="N560" s="424"/>
      <c r="O560" s="426"/>
      <c r="P560" s="426"/>
      <c r="Q560" s="424"/>
      <c r="R560" s="426"/>
      <c r="S560" s="426"/>
      <c r="T560" s="426"/>
      <c r="U560" s="426"/>
      <c r="V560" s="421"/>
    </row>
    <row r="561" spans="1:22">
      <c r="A561" s="416"/>
      <c r="B561" s="394"/>
      <c r="C561" s="413"/>
      <c r="D561" s="414"/>
      <c r="E561" s="414"/>
      <c r="F561" s="414"/>
      <c r="G561" s="414"/>
      <c r="H561" s="414"/>
      <c r="I561" s="414"/>
      <c r="J561" s="415"/>
      <c r="K561" s="415"/>
      <c r="L561" s="414"/>
      <c r="M561" s="414"/>
      <c r="N561" s="414"/>
      <c r="O561" s="415"/>
      <c r="P561" s="415"/>
      <c r="Q561" s="414"/>
      <c r="R561" s="415"/>
      <c r="S561" s="415"/>
      <c r="T561" s="415"/>
      <c r="U561" s="415"/>
      <c r="V561" s="421"/>
    </row>
    <row r="562" spans="1:22">
      <c r="A562" s="416"/>
      <c r="B562" s="417"/>
      <c r="C562" s="418"/>
      <c r="D562" s="419"/>
      <c r="E562" s="419"/>
      <c r="F562" s="419"/>
      <c r="G562" s="419"/>
      <c r="H562" s="419"/>
      <c r="I562" s="419"/>
      <c r="J562" s="420"/>
      <c r="K562" s="420"/>
      <c r="L562" s="419"/>
      <c r="M562" s="419"/>
      <c r="N562" s="419"/>
      <c r="O562" s="420"/>
      <c r="P562" s="420"/>
      <c r="Q562" s="419"/>
      <c r="R562" s="420"/>
      <c r="S562" s="420"/>
      <c r="T562" s="420"/>
      <c r="U562" s="420"/>
      <c r="V562" s="421"/>
    </row>
    <row r="563" spans="1:22" ht="15" thickBot="1">
      <c r="A563" s="416"/>
      <c r="B563" s="428"/>
      <c r="C563" s="429"/>
      <c r="D563" s="430"/>
      <c r="E563" s="430"/>
      <c r="F563" s="430"/>
      <c r="G563" s="430"/>
      <c r="H563" s="430"/>
      <c r="I563" s="430"/>
      <c r="J563" s="431"/>
      <c r="K563" s="431"/>
      <c r="L563" s="430"/>
      <c r="M563" s="430"/>
      <c r="N563" s="430"/>
      <c r="O563" s="431"/>
      <c r="P563" s="431"/>
      <c r="Q563" s="430"/>
      <c r="R563" s="431"/>
      <c r="S563" s="431"/>
      <c r="T563" s="431"/>
      <c r="U563" s="431"/>
      <c r="V563" s="421"/>
    </row>
    <row r="564" spans="1:22" ht="15" thickTop="1">
      <c r="A564" s="416"/>
      <c r="B564" s="417"/>
      <c r="C564" s="418"/>
      <c r="D564" s="419"/>
      <c r="E564" s="419"/>
      <c r="F564" s="419"/>
      <c r="G564" s="419"/>
      <c r="H564" s="419"/>
      <c r="I564" s="419"/>
      <c r="J564" s="420"/>
      <c r="K564" s="420"/>
      <c r="L564" s="419"/>
      <c r="M564" s="419"/>
      <c r="N564" s="419"/>
      <c r="O564" s="420"/>
      <c r="P564" s="420"/>
      <c r="Q564" s="419"/>
      <c r="R564" s="420"/>
      <c r="S564" s="420"/>
      <c r="T564" s="420"/>
      <c r="U564" s="420"/>
      <c r="V564" s="421"/>
    </row>
    <row r="565" spans="1:22">
      <c r="A565" s="416"/>
      <c r="B565" s="417"/>
      <c r="C565" s="418"/>
      <c r="D565" s="419"/>
      <c r="E565" s="419"/>
      <c r="F565" s="419"/>
      <c r="G565" s="419"/>
      <c r="H565" s="419"/>
      <c r="I565" s="419"/>
      <c r="J565" s="420"/>
      <c r="K565" s="420"/>
      <c r="L565" s="419"/>
      <c r="M565" s="419"/>
      <c r="N565" s="419"/>
      <c r="O565" s="420"/>
      <c r="P565" s="420"/>
      <c r="Q565" s="419"/>
      <c r="R565" s="420"/>
      <c r="S565" s="420"/>
      <c r="T565" s="420"/>
      <c r="U565" s="420"/>
      <c r="V565" s="421"/>
    </row>
    <row r="566" spans="1:22">
      <c r="A566" s="416"/>
      <c r="B566" s="422"/>
      <c r="C566" s="423"/>
      <c r="D566" s="424"/>
      <c r="E566" s="424"/>
      <c r="F566" s="424"/>
      <c r="G566" s="424"/>
      <c r="H566" s="424"/>
      <c r="I566" s="424"/>
      <c r="J566" s="426"/>
      <c r="K566" s="426"/>
      <c r="L566" s="424"/>
      <c r="M566" s="424"/>
      <c r="N566" s="424"/>
      <c r="O566" s="426"/>
      <c r="P566" s="426"/>
      <c r="Q566" s="424"/>
      <c r="R566" s="426"/>
      <c r="S566" s="426"/>
      <c r="T566" s="426"/>
      <c r="U566" s="426"/>
      <c r="V566" s="421"/>
    </row>
    <row r="567" spans="1:22">
      <c r="A567" s="416"/>
      <c r="B567" s="394"/>
      <c r="C567" s="413"/>
      <c r="D567" s="414"/>
      <c r="E567" s="414"/>
      <c r="F567" s="414"/>
      <c r="G567" s="414"/>
      <c r="H567" s="414"/>
      <c r="I567" s="414"/>
      <c r="J567" s="415"/>
      <c r="K567" s="415"/>
      <c r="L567" s="414"/>
      <c r="M567" s="414"/>
      <c r="N567" s="414"/>
      <c r="O567" s="415"/>
      <c r="P567" s="415"/>
      <c r="Q567" s="414"/>
      <c r="R567" s="415"/>
      <c r="S567" s="415"/>
      <c r="T567" s="415"/>
      <c r="U567" s="415"/>
      <c r="V567" s="421"/>
    </row>
    <row r="568" spans="1:22">
      <c r="A568" s="416"/>
      <c r="B568" s="417"/>
      <c r="C568" s="418"/>
      <c r="D568" s="419"/>
      <c r="E568" s="419"/>
      <c r="F568" s="419"/>
      <c r="G568" s="419"/>
      <c r="H568" s="419"/>
      <c r="I568" s="419"/>
      <c r="J568" s="420"/>
      <c r="K568" s="420"/>
      <c r="L568" s="419"/>
      <c r="M568" s="419"/>
      <c r="N568" s="419"/>
      <c r="O568" s="420"/>
      <c r="P568" s="420"/>
      <c r="Q568" s="419"/>
      <c r="R568" s="420"/>
      <c r="S568" s="420"/>
      <c r="T568" s="420"/>
      <c r="U568" s="420"/>
      <c r="V568" s="421"/>
    </row>
    <row r="569" spans="1:22">
      <c r="A569" s="416"/>
      <c r="B569" s="422"/>
      <c r="C569" s="423"/>
      <c r="D569" s="424"/>
      <c r="E569" s="424"/>
      <c r="F569" s="424"/>
      <c r="G569" s="424"/>
      <c r="H569" s="424"/>
      <c r="I569" s="424"/>
      <c r="J569" s="426"/>
      <c r="K569" s="426"/>
      <c r="L569" s="424"/>
      <c r="M569" s="424"/>
      <c r="N569" s="424"/>
      <c r="O569" s="426"/>
      <c r="P569" s="426"/>
      <c r="Q569" s="424"/>
      <c r="R569" s="426"/>
      <c r="S569" s="426"/>
      <c r="T569" s="426"/>
      <c r="U569" s="426"/>
      <c r="V569" s="421"/>
    </row>
    <row r="570" spans="1:22">
      <c r="A570" s="416"/>
      <c r="B570" s="394"/>
      <c r="C570" s="413"/>
      <c r="D570" s="414"/>
      <c r="E570" s="414"/>
      <c r="F570" s="414"/>
      <c r="G570" s="414"/>
      <c r="H570" s="414"/>
      <c r="I570" s="414"/>
      <c r="J570" s="415"/>
      <c r="K570" s="415"/>
      <c r="L570" s="414"/>
      <c r="M570" s="414"/>
      <c r="N570" s="414"/>
      <c r="O570" s="415"/>
      <c r="P570" s="415"/>
      <c r="Q570" s="414"/>
      <c r="R570" s="415"/>
      <c r="S570" s="415"/>
      <c r="T570" s="415"/>
      <c r="U570" s="415"/>
      <c r="V570" s="421"/>
    </row>
    <row r="571" spans="1:22">
      <c r="A571" s="416"/>
      <c r="B571" s="417"/>
      <c r="C571" s="418"/>
      <c r="D571" s="419"/>
      <c r="E571" s="419"/>
      <c r="F571" s="419"/>
      <c r="G571" s="419"/>
      <c r="H571" s="419"/>
      <c r="I571" s="419"/>
      <c r="J571" s="420"/>
      <c r="K571" s="420"/>
      <c r="L571" s="419"/>
      <c r="M571" s="419"/>
      <c r="N571" s="419"/>
      <c r="O571" s="420"/>
      <c r="P571" s="420"/>
      <c r="Q571" s="419"/>
      <c r="R571" s="420"/>
      <c r="S571" s="420"/>
      <c r="T571" s="420"/>
      <c r="U571" s="420"/>
      <c r="V571" s="421"/>
    </row>
    <row r="572" spans="1:22">
      <c r="A572" s="416"/>
      <c r="B572" s="422"/>
      <c r="C572" s="423"/>
      <c r="D572" s="424"/>
      <c r="E572" s="424"/>
      <c r="F572" s="424"/>
      <c r="G572" s="424"/>
      <c r="H572" s="424"/>
      <c r="I572" s="424"/>
      <c r="J572" s="426"/>
      <c r="K572" s="426"/>
      <c r="L572" s="424"/>
      <c r="M572" s="424"/>
      <c r="N572" s="424"/>
      <c r="O572" s="426"/>
      <c r="P572" s="426"/>
      <c r="Q572" s="424"/>
      <c r="R572" s="426"/>
      <c r="S572" s="426"/>
      <c r="T572" s="426"/>
      <c r="U572" s="426"/>
      <c r="V572" s="421"/>
    </row>
    <row r="573" spans="1:22">
      <c r="A573" s="416"/>
      <c r="B573" s="394"/>
      <c r="C573" s="413"/>
      <c r="D573" s="414"/>
      <c r="E573" s="414"/>
      <c r="F573" s="414"/>
      <c r="G573" s="414"/>
      <c r="H573" s="414"/>
      <c r="I573" s="414"/>
      <c r="J573" s="415"/>
      <c r="K573" s="415"/>
      <c r="L573" s="414"/>
      <c r="M573" s="414"/>
      <c r="N573" s="414"/>
      <c r="O573" s="415"/>
      <c r="P573" s="415"/>
      <c r="Q573" s="414"/>
      <c r="R573" s="415"/>
      <c r="S573" s="415"/>
      <c r="T573" s="415"/>
      <c r="U573" s="415"/>
      <c r="V573" s="421"/>
    </row>
    <row r="574" spans="1:22">
      <c r="A574" s="416"/>
      <c r="B574" s="417"/>
      <c r="C574" s="418"/>
      <c r="D574" s="419"/>
      <c r="E574" s="419"/>
      <c r="F574" s="419"/>
      <c r="G574" s="419"/>
      <c r="H574" s="419"/>
      <c r="I574" s="419"/>
      <c r="J574" s="420"/>
      <c r="K574" s="420"/>
      <c r="L574" s="419"/>
      <c r="M574" s="419"/>
      <c r="N574" s="419"/>
      <c r="O574" s="420"/>
      <c r="P574" s="420"/>
      <c r="Q574" s="419"/>
      <c r="R574" s="420"/>
      <c r="S574" s="420"/>
      <c r="T574" s="420"/>
      <c r="U574" s="420"/>
      <c r="V574" s="421"/>
    </row>
    <row r="575" spans="1:22">
      <c r="A575" s="416"/>
      <c r="B575" s="422"/>
      <c r="C575" s="423"/>
      <c r="D575" s="424"/>
      <c r="E575" s="424"/>
      <c r="F575" s="424"/>
      <c r="G575" s="424"/>
      <c r="H575" s="424"/>
      <c r="I575" s="424"/>
      <c r="J575" s="426"/>
      <c r="K575" s="426"/>
      <c r="L575" s="424"/>
      <c r="M575" s="424"/>
      <c r="N575" s="424"/>
      <c r="O575" s="426"/>
      <c r="P575" s="426"/>
      <c r="Q575" s="424"/>
      <c r="R575" s="426"/>
      <c r="S575" s="426"/>
      <c r="T575" s="426"/>
      <c r="U575" s="426"/>
      <c r="V575" s="421"/>
    </row>
    <row r="576" spans="1:22">
      <c r="A576" s="416"/>
      <c r="B576" s="394"/>
      <c r="C576" s="413"/>
      <c r="D576" s="414"/>
      <c r="E576" s="414"/>
      <c r="F576" s="414"/>
      <c r="G576" s="414"/>
      <c r="H576" s="414"/>
      <c r="I576" s="414"/>
      <c r="J576" s="415"/>
      <c r="K576" s="415"/>
      <c r="L576" s="414"/>
      <c r="M576" s="414"/>
      <c r="N576" s="414"/>
      <c r="O576" s="415"/>
      <c r="P576" s="415"/>
      <c r="Q576" s="414"/>
      <c r="R576" s="415"/>
      <c r="S576" s="415"/>
      <c r="T576" s="415"/>
      <c r="U576" s="415"/>
      <c r="V576" s="421"/>
    </row>
    <row r="577" spans="1:22">
      <c r="A577" s="416"/>
      <c r="B577" s="417"/>
      <c r="C577" s="418"/>
      <c r="D577" s="419"/>
      <c r="E577" s="419"/>
      <c r="F577" s="419"/>
      <c r="G577" s="419"/>
      <c r="H577" s="419"/>
      <c r="I577" s="419"/>
      <c r="J577" s="420"/>
      <c r="K577" s="420"/>
      <c r="L577" s="419"/>
      <c r="M577" s="419"/>
      <c r="N577" s="419"/>
      <c r="O577" s="420"/>
      <c r="P577" s="420"/>
      <c r="Q577" s="419"/>
      <c r="R577" s="420"/>
      <c r="S577" s="420"/>
      <c r="T577" s="420"/>
      <c r="U577" s="420"/>
      <c r="V577" s="421"/>
    </row>
    <row r="578" spans="1:22">
      <c r="A578" s="416"/>
      <c r="B578" s="422"/>
      <c r="C578" s="423"/>
      <c r="D578" s="424"/>
      <c r="E578" s="424"/>
      <c r="F578" s="424"/>
      <c r="G578" s="424"/>
      <c r="H578" s="424"/>
      <c r="I578" s="424"/>
      <c r="J578" s="426"/>
      <c r="K578" s="426"/>
      <c r="L578" s="424"/>
      <c r="M578" s="424"/>
      <c r="N578" s="424"/>
      <c r="O578" s="426"/>
      <c r="P578" s="426"/>
      <c r="Q578" s="424"/>
      <c r="R578" s="426"/>
      <c r="S578" s="426"/>
      <c r="T578" s="426"/>
      <c r="U578" s="426"/>
      <c r="V578" s="421"/>
    </row>
    <row r="579" spans="1:22">
      <c r="A579" s="416"/>
      <c r="B579" s="394"/>
      <c r="C579" s="413"/>
      <c r="D579" s="414"/>
      <c r="E579" s="414"/>
      <c r="F579" s="414"/>
      <c r="G579" s="414"/>
      <c r="H579" s="414"/>
      <c r="I579" s="414"/>
      <c r="J579" s="415"/>
      <c r="K579" s="415"/>
      <c r="L579" s="414"/>
      <c r="M579" s="414"/>
      <c r="N579" s="414"/>
      <c r="O579" s="415"/>
      <c r="P579" s="415"/>
      <c r="Q579" s="414"/>
      <c r="R579" s="415"/>
      <c r="S579" s="415"/>
      <c r="T579" s="415"/>
      <c r="U579" s="415"/>
      <c r="V579" s="421"/>
    </row>
    <row r="580" spans="1:22">
      <c r="A580" s="416"/>
      <c r="B580" s="417"/>
      <c r="C580" s="418"/>
      <c r="D580" s="419"/>
      <c r="E580" s="419"/>
      <c r="F580" s="419"/>
      <c r="G580" s="419"/>
      <c r="H580" s="419"/>
      <c r="I580" s="419"/>
      <c r="J580" s="420"/>
      <c r="K580" s="420"/>
      <c r="L580" s="419"/>
      <c r="M580" s="419"/>
      <c r="N580" s="419"/>
      <c r="O580" s="420"/>
      <c r="P580" s="420"/>
      <c r="Q580" s="419"/>
      <c r="R580" s="420"/>
      <c r="S580" s="420"/>
      <c r="T580" s="420"/>
      <c r="U580" s="420"/>
      <c r="V580" s="421"/>
    </row>
    <row r="581" spans="1:22" ht="15" thickBot="1">
      <c r="A581" s="432"/>
      <c r="B581" s="433"/>
      <c r="C581" s="434"/>
      <c r="D581" s="435"/>
      <c r="E581" s="435"/>
      <c r="F581" s="435"/>
      <c r="G581" s="435"/>
      <c r="H581" s="435"/>
      <c r="I581" s="435"/>
      <c r="J581" s="436"/>
      <c r="K581" s="436"/>
      <c r="L581" s="435"/>
      <c r="M581" s="435"/>
      <c r="N581" s="435"/>
      <c r="O581" s="436"/>
      <c r="P581" s="436"/>
      <c r="Q581" s="435"/>
      <c r="R581" s="436"/>
      <c r="S581" s="436"/>
      <c r="T581" s="436"/>
      <c r="U581" s="436"/>
      <c r="V581" s="421"/>
    </row>
    <row r="582" spans="1:22">
      <c r="A582" s="412"/>
      <c r="B582" s="394"/>
      <c r="C582" s="413"/>
      <c r="D582" s="414"/>
      <c r="E582" s="414"/>
      <c r="F582" s="414"/>
      <c r="G582" s="414"/>
      <c r="H582" s="414"/>
      <c r="I582" s="414"/>
      <c r="J582" s="415"/>
      <c r="K582" s="415"/>
      <c r="L582" s="414"/>
      <c r="M582" s="414"/>
      <c r="N582" s="414"/>
      <c r="O582" s="415"/>
      <c r="P582" s="415"/>
      <c r="Q582" s="414"/>
      <c r="R582" s="415"/>
      <c r="S582" s="415"/>
      <c r="T582" s="415"/>
      <c r="U582" s="415"/>
      <c r="V582" s="421"/>
    </row>
    <row r="583" spans="1:22">
      <c r="A583" s="416"/>
      <c r="B583" s="417"/>
      <c r="C583" s="418"/>
      <c r="D583" s="419"/>
      <c r="E583" s="419"/>
      <c r="F583" s="419"/>
      <c r="G583" s="419"/>
      <c r="H583" s="419"/>
      <c r="I583" s="419"/>
      <c r="J583" s="420"/>
      <c r="K583" s="420"/>
      <c r="L583" s="419"/>
      <c r="M583" s="419"/>
      <c r="N583" s="419"/>
      <c r="O583" s="420"/>
      <c r="P583" s="420"/>
      <c r="Q583" s="419"/>
      <c r="R583" s="420"/>
      <c r="S583" s="420"/>
      <c r="T583" s="420"/>
      <c r="U583" s="420"/>
      <c r="V583" s="421"/>
    </row>
    <row r="584" spans="1:22">
      <c r="A584" s="416"/>
      <c r="B584" s="422"/>
      <c r="C584" s="423"/>
      <c r="D584" s="424"/>
      <c r="E584" s="424"/>
      <c r="F584" s="424"/>
      <c r="G584" s="424"/>
      <c r="H584" s="424"/>
      <c r="I584" s="424"/>
      <c r="J584" s="426"/>
      <c r="K584" s="426"/>
      <c r="L584" s="424"/>
      <c r="M584" s="424"/>
      <c r="N584" s="424"/>
      <c r="O584" s="426"/>
      <c r="P584" s="426"/>
      <c r="Q584" s="424"/>
      <c r="R584" s="426"/>
      <c r="S584" s="426"/>
      <c r="T584" s="426"/>
      <c r="U584" s="426"/>
      <c r="V584" s="421"/>
    </row>
    <row r="585" spans="1:22">
      <c r="A585" s="416"/>
      <c r="B585" s="394"/>
      <c r="C585" s="413"/>
      <c r="D585" s="414"/>
      <c r="E585" s="414"/>
      <c r="F585" s="414"/>
      <c r="G585" s="414"/>
      <c r="H585" s="414"/>
      <c r="I585" s="414"/>
      <c r="J585" s="415"/>
      <c r="K585" s="415"/>
      <c r="L585" s="414"/>
      <c r="M585" s="414"/>
      <c r="N585" s="414"/>
      <c r="O585" s="415"/>
      <c r="P585" s="415"/>
      <c r="Q585" s="414"/>
      <c r="R585" s="415"/>
      <c r="S585" s="415"/>
      <c r="T585" s="415"/>
      <c r="U585" s="415"/>
      <c r="V585" s="421"/>
    </row>
    <row r="586" spans="1:22">
      <c r="A586" s="416"/>
      <c r="B586" s="417"/>
      <c r="C586" s="418"/>
      <c r="D586" s="419"/>
      <c r="E586" s="419"/>
      <c r="F586" s="419"/>
      <c r="G586" s="419"/>
      <c r="H586" s="419"/>
      <c r="I586" s="419"/>
      <c r="J586" s="420"/>
      <c r="K586" s="420"/>
      <c r="L586" s="419"/>
      <c r="M586" s="419"/>
      <c r="N586" s="419"/>
      <c r="O586" s="420"/>
      <c r="P586" s="420"/>
      <c r="Q586" s="419"/>
      <c r="R586" s="420"/>
      <c r="S586" s="420"/>
      <c r="T586" s="420"/>
      <c r="U586" s="420"/>
      <c r="V586" s="421"/>
    </row>
    <row r="587" spans="1:22">
      <c r="A587" s="416"/>
      <c r="B587" s="422"/>
      <c r="C587" s="423"/>
      <c r="D587" s="424"/>
      <c r="E587" s="424"/>
      <c r="F587" s="424"/>
      <c r="G587" s="424"/>
      <c r="H587" s="424"/>
      <c r="I587" s="424"/>
      <c r="J587" s="426"/>
      <c r="K587" s="426"/>
      <c r="L587" s="424"/>
      <c r="M587" s="424"/>
      <c r="N587" s="424"/>
      <c r="O587" s="426"/>
      <c r="P587" s="426"/>
      <c r="Q587" s="424"/>
      <c r="R587" s="426"/>
      <c r="S587" s="426"/>
      <c r="T587" s="426"/>
      <c r="U587" s="426"/>
      <c r="V587" s="421"/>
    </row>
    <row r="588" spans="1:22">
      <c r="A588" s="416"/>
      <c r="B588" s="394"/>
      <c r="C588" s="413"/>
      <c r="D588" s="414"/>
      <c r="E588" s="414"/>
      <c r="F588" s="414"/>
      <c r="G588" s="414"/>
      <c r="H588" s="414"/>
      <c r="I588" s="414"/>
      <c r="J588" s="415"/>
      <c r="K588" s="415"/>
      <c r="L588" s="414"/>
      <c r="M588" s="414"/>
      <c r="N588" s="414"/>
      <c r="O588" s="415"/>
      <c r="P588" s="415"/>
      <c r="Q588" s="414"/>
      <c r="R588" s="415"/>
      <c r="S588" s="415"/>
      <c r="T588" s="415"/>
      <c r="U588" s="415"/>
      <c r="V588" s="421"/>
    </row>
    <row r="589" spans="1:22">
      <c r="A589" s="416"/>
      <c r="B589" s="417"/>
      <c r="C589" s="418"/>
      <c r="D589" s="419"/>
      <c r="E589" s="419"/>
      <c r="F589" s="419"/>
      <c r="G589" s="419"/>
      <c r="H589" s="419"/>
      <c r="I589" s="419"/>
      <c r="J589" s="420"/>
      <c r="K589" s="420"/>
      <c r="L589" s="419"/>
      <c r="M589" s="419"/>
      <c r="N589" s="419"/>
      <c r="O589" s="420"/>
      <c r="P589" s="420"/>
      <c r="Q589" s="419"/>
      <c r="R589" s="420"/>
      <c r="S589" s="420"/>
      <c r="T589" s="420"/>
      <c r="U589" s="420"/>
      <c r="V589" s="421"/>
    </row>
    <row r="590" spans="1:22">
      <c r="A590" s="416"/>
      <c r="B590" s="422"/>
      <c r="C590" s="423"/>
      <c r="D590" s="424"/>
      <c r="E590" s="424"/>
      <c r="F590" s="424"/>
      <c r="G590" s="424"/>
      <c r="H590" s="424"/>
      <c r="I590" s="424"/>
      <c r="J590" s="426"/>
      <c r="K590" s="426"/>
      <c r="L590" s="424"/>
      <c r="M590" s="424"/>
      <c r="N590" s="424"/>
      <c r="O590" s="426"/>
      <c r="P590" s="426"/>
      <c r="Q590" s="424"/>
      <c r="R590" s="426"/>
      <c r="S590" s="426"/>
      <c r="T590" s="426"/>
      <c r="U590" s="426"/>
      <c r="V590" s="421"/>
    </row>
    <row r="591" spans="1:22">
      <c r="A591" s="416"/>
      <c r="B591" s="394"/>
      <c r="C591" s="413"/>
      <c r="D591" s="414"/>
      <c r="E591" s="414"/>
      <c r="F591" s="414"/>
      <c r="G591" s="414"/>
      <c r="H591" s="414"/>
      <c r="I591" s="414"/>
      <c r="J591" s="415"/>
      <c r="K591" s="415"/>
      <c r="L591" s="414"/>
      <c r="M591" s="414"/>
      <c r="N591" s="414"/>
      <c r="O591" s="415"/>
      <c r="P591" s="415"/>
      <c r="Q591" s="414"/>
      <c r="R591" s="415"/>
      <c r="S591" s="415"/>
      <c r="T591" s="415"/>
      <c r="U591" s="415"/>
      <c r="V591" s="421"/>
    </row>
    <row r="592" spans="1:22">
      <c r="A592" s="416"/>
      <c r="B592" s="417"/>
      <c r="C592" s="418"/>
      <c r="D592" s="419"/>
      <c r="E592" s="419"/>
      <c r="F592" s="419"/>
      <c r="G592" s="419"/>
      <c r="H592" s="419"/>
      <c r="I592" s="419"/>
      <c r="J592" s="420"/>
      <c r="K592" s="420"/>
      <c r="L592" s="419"/>
      <c r="M592" s="419"/>
      <c r="N592" s="419"/>
      <c r="O592" s="420"/>
      <c r="P592" s="420"/>
      <c r="Q592" s="419"/>
      <c r="R592" s="420"/>
      <c r="S592" s="420"/>
      <c r="T592" s="420"/>
      <c r="U592" s="420"/>
      <c r="V592" s="421"/>
    </row>
    <row r="593" spans="1:22">
      <c r="A593" s="416"/>
      <c r="B593" s="422"/>
      <c r="C593" s="423"/>
      <c r="D593" s="424"/>
      <c r="E593" s="424"/>
      <c r="F593" s="424"/>
      <c r="G593" s="424"/>
      <c r="H593" s="424"/>
      <c r="I593" s="424"/>
      <c r="J593" s="426"/>
      <c r="K593" s="426"/>
      <c r="L593" s="424"/>
      <c r="M593" s="424"/>
      <c r="N593" s="424"/>
      <c r="O593" s="426"/>
      <c r="P593" s="426"/>
      <c r="Q593" s="424"/>
      <c r="R593" s="426"/>
      <c r="S593" s="426"/>
      <c r="T593" s="426"/>
      <c r="U593" s="426"/>
      <c r="V593" s="421"/>
    </row>
    <row r="594" spans="1:22">
      <c r="A594" s="416"/>
      <c r="B594" s="394"/>
      <c r="C594" s="413"/>
      <c r="D594" s="414"/>
      <c r="E594" s="414"/>
      <c r="F594" s="414"/>
      <c r="G594" s="414"/>
      <c r="H594" s="414"/>
      <c r="I594" s="414"/>
      <c r="J594" s="415"/>
      <c r="K594" s="415"/>
      <c r="L594" s="414"/>
      <c r="M594" s="414"/>
      <c r="N594" s="414"/>
      <c r="O594" s="415"/>
      <c r="P594" s="415"/>
      <c r="Q594" s="414"/>
      <c r="R594" s="415"/>
      <c r="S594" s="415"/>
      <c r="T594" s="415"/>
      <c r="U594" s="415"/>
      <c r="V594" s="421"/>
    </row>
    <row r="595" spans="1:22">
      <c r="A595" s="416"/>
      <c r="B595" s="417"/>
      <c r="C595" s="418"/>
      <c r="D595" s="419"/>
      <c r="E595" s="419"/>
      <c r="F595" s="419"/>
      <c r="G595" s="419"/>
      <c r="H595" s="419"/>
      <c r="I595" s="419"/>
      <c r="J595" s="420"/>
      <c r="K595" s="420"/>
      <c r="L595" s="419"/>
      <c r="M595" s="419"/>
      <c r="N595" s="419"/>
      <c r="O595" s="420"/>
      <c r="P595" s="420"/>
      <c r="Q595" s="419"/>
      <c r="R595" s="420"/>
      <c r="S595" s="420"/>
      <c r="T595" s="420"/>
      <c r="U595" s="420"/>
      <c r="V595" s="421"/>
    </row>
    <row r="596" spans="1:22">
      <c r="A596" s="416"/>
      <c r="B596" s="422"/>
      <c r="C596" s="423"/>
      <c r="D596" s="424"/>
      <c r="E596" s="424"/>
      <c r="F596" s="424"/>
      <c r="G596" s="424"/>
      <c r="H596" s="424"/>
      <c r="I596" s="424"/>
      <c r="J596" s="426"/>
      <c r="K596" s="426"/>
      <c r="L596" s="424"/>
      <c r="M596" s="424"/>
      <c r="N596" s="424"/>
      <c r="O596" s="426"/>
      <c r="P596" s="426"/>
      <c r="Q596" s="424"/>
      <c r="R596" s="426"/>
      <c r="S596" s="426"/>
      <c r="T596" s="426"/>
      <c r="U596" s="426"/>
      <c r="V596" s="421"/>
    </row>
    <row r="597" spans="1:22">
      <c r="A597" s="416"/>
      <c r="B597" s="394"/>
      <c r="C597" s="413"/>
      <c r="D597" s="414"/>
      <c r="E597" s="414"/>
      <c r="F597" s="414"/>
      <c r="G597" s="414"/>
      <c r="H597" s="414"/>
      <c r="I597" s="414"/>
      <c r="J597" s="415"/>
      <c r="K597" s="415"/>
      <c r="L597" s="414"/>
      <c r="M597" s="414"/>
      <c r="N597" s="414"/>
      <c r="O597" s="415"/>
      <c r="P597" s="415"/>
      <c r="Q597" s="414"/>
      <c r="R597" s="415"/>
      <c r="S597" s="415"/>
      <c r="T597" s="415"/>
      <c r="U597" s="415"/>
      <c r="V597" s="421"/>
    </row>
    <row r="598" spans="1:22">
      <c r="A598" s="416"/>
      <c r="B598" s="417"/>
      <c r="C598" s="418"/>
      <c r="D598" s="419"/>
      <c r="E598" s="419"/>
      <c r="F598" s="419"/>
      <c r="G598" s="419"/>
      <c r="H598" s="419"/>
      <c r="I598" s="419"/>
      <c r="J598" s="420"/>
      <c r="K598" s="420"/>
      <c r="L598" s="419"/>
      <c r="M598" s="419"/>
      <c r="N598" s="419"/>
      <c r="O598" s="420"/>
      <c r="P598" s="420"/>
      <c r="Q598" s="419"/>
      <c r="R598" s="420"/>
      <c r="S598" s="420"/>
      <c r="T598" s="420"/>
      <c r="U598" s="420"/>
      <c r="V598" s="421"/>
    </row>
    <row r="599" spans="1:22" ht="15" thickBot="1">
      <c r="A599" s="416"/>
      <c r="B599" s="428"/>
      <c r="C599" s="429"/>
      <c r="D599" s="430"/>
      <c r="E599" s="430"/>
      <c r="F599" s="430"/>
      <c r="G599" s="430"/>
      <c r="H599" s="430"/>
      <c r="I599" s="430"/>
      <c r="J599" s="431"/>
      <c r="K599" s="431"/>
      <c r="L599" s="430"/>
      <c r="M599" s="430"/>
      <c r="N599" s="430"/>
      <c r="O599" s="431"/>
      <c r="P599" s="431"/>
      <c r="Q599" s="430"/>
      <c r="R599" s="431"/>
      <c r="S599" s="431"/>
      <c r="T599" s="431"/>
      <c r="U599" s="431"/>
      <c r="V599" s="421"/>
    </row>
    <row r="600" spans="1:22" ht="15" thickTop="1">
      <c r="A600" s="416"/>
      <c r="B600" s="417"/>
      <c r="C600" s="418"/>
      <c r="D600" s="419"/>
      <c r="E600" s="419"/>
      <c r="F600" s="419"/>
      <c r="G600" s="419"/>
      <c r="H600" s="419"/>
      <c r="I600" s="419"/>
      <c r="J600" s="420"/>
      <c r="K600" s="420"/>
      <c r="L600" s="419"/>
      <c r="M600" s="419"/>
      <c r="N600" s="419"/>
      <c r="O600" s="420"/>
      <c r="P600" s="420"/>
      <c r="Q600" s="419"/>
      <c r="R600" s="420"/>
      <c r="S600" s="420"/>
      <c r="T600" s="420"/>
      <c r="U600" s="420"/>
      <c r="V600" s="421"/>
    </row>
    <row r="601" spans="1:22">
      <c r="A601" s="416"/>
      <c r="B601" s="417"/>
      <c r="C601" s="418"/>
      <c r="D601" s="419"/>
      <c r="E601" s="419"/>
      <c r="F601" s="419"/>
      <c r="G601" s="419"/>
      <c r="H601" s="419"/>
      <c r="I601" s="419"/>
      <c r="J601" s="420"/>
      <c r="K601" s="420"/>
      <c r="L601" s="419"/>
      <c r="M601" s="419"/>
      <c r="N601" s="419"/>
      <c r="O601" s="420"/>
      <c r="P601" s="420"/>
      <c r="Q601" s="419"/>
      <c r="R601" s="420"/>
      <c r="S601" s="420"/>
      <c r="T601" s="420"/>
      <c r="U601" s="420"/>
      <c r="V601" s="421"/>
    </row>
    <row r="602" spans="1:22">
      <c r="A602" s="416"/>
      <c r="B602" s="422"/>
      <c r="C602" s="423"/>
      <c r="D602" s="424"/>
      <c r="E602" s="424"/>
      <c r="F602" s="424"/>
      <c r="G602" s="424"/>
      <c r="H602" s="424"/>
      <c r="I602" s="424"/>
      <c r="J602" s="426"/>
      <c r="K602" s="426"/>
      <c r="L602" s="424"/>
      <c r="M602" s="424"/>
      <c r="N602" s="424"/>
      <c r="O602" s="426"/>
      <c r="P602" s="426"/>
      <c r="Q602" s="424"/>
      <c r="R602" s="426"/>
      <c r="S602" s="426"/>
      <c r="T602" s="426"/>
      <c r="U602" s="426"/>
      <c r="V602" s="421"/>
    </row>
    <row r="603" spans="1:22">
      <c r="A603" s="416"/>
      <c r="B603" s="394"/>
      <c r="C603" s="413"/>
      <c r="D603" s="414"/>
      <c r="E603" s="414"/>
      <c r="F603" s="414"/>
      <c r="G603" s="414"/>
      <c r="H603" s="414"/>
      <c r="I603" s="414"/>
      <c r="J603" s="415"/>
      <c r="K603" s="415"/>
      <c r="L603" s="414"/>
      <c r="M603" s="414"/>
      <c r="N603" s="414"/>
      <c r="O603" s="415"/>
      <c r="P603" s="415"/>
      <c r="Q603" s="414"/>
      <c r="R603" s="415"/>
      <c r="S603" s="415"/>
      <c r="T603" s="415"/>
      <c r="U603" s="415"/>
      <c r="V603" s="421"/>
    </row>
    <row r="604" spans="1:22">
      <c r="A604" s="416"/>
      <c r="B604" s="417"/>
      <c r="C604" s="418"/>
      <c r="D604" s="419"/>
      <c r="E604" s="419"/>
      <c r="F604" s="419"/>
      <c r="G604" s="419"/>
      <c r="H604" s="419"/>
      <c r="I604" s="419"/>
      <c r="J604" s="420"/>
      <c r="K604" s="420"/>
      <c r="L604" s="419"/>
      <c r="M604" s="419"/>
      <c r="N604" s="419"/>
      <c r="O604" s="420"/>
      <c r="P604" s="420"/>
      <c r="Q604" s="419"/>
      <c r="R604" s="420"/>
      <c r="S604" s="420"/>
      <c r="T604" s="420"/>
      <c r="U604" s="420"/>
      <c r="V604" s="421"/>
    </row>
    <row r="605" spans="1:22">
      <c r="A605" s="416"/>
      <c r="B605" s="422"/>
      <c r="C605" s="423"/>
      <c r="D605" s="424"/>
      <c r="E605" s="424"/>
      <c r="F605" s="424"/>
      <c r="G605" s="424"/>
      <c r="H605" s="424"/>
      <c r="I605" s="424"/>
      <c r="J605" s="426"/>
      <c r="K605" s="426"/>
      <c r="L605" s="424"/>
      <c r="M605" s="424"/>
      <c r="N605" s="424"/>
      <c r="O605" s="426"/>
      <c r="P605" s="426"/>
      <c r="Q605" s="424"/>
      <c r="R605" s="426"/>
      <c r="S605" s="426"/>
      <c r="T605" s="426"/>
      <c r="U605" s="426"/>
      <c r="V605" s="421"/>
    </row>
    <row r="606" spans="1:22">
      <c r="A606" s="416"/>
      <c r="B606" s="394"/>
      <c r="C606" s="413"/>
      <c r="D606" s="414"/>
      <c r="E606" s="414"/>
      <c r="F606" s="414"/>
      <c r="G606" s="414"/>
      <c r="H606" s="414"/>
      <c r="I606" s="414"/>
      <c r="J606" s="415"/>
      <c r="K606" s="415"/>
      <c r="L606" s="414"/>
      <c r="M606" s="414"/>
      <c r="N606" s="414"/>
      <c r="O606" s="415"/>
      <c r="P606" s="415"/>
      <c r="Q606" s="414"/>
      <c r="R606" s="415"/>
      <c r="S606" s="415"/>
      <c r="T606" s="415"/>
      <c r="U606" s="415"/>
      <c r="V606" s="421"/>
    </row>
    <row r="607" spans="1:22">
      <c r="A607" s="416"/>
      <c r="B607" s="417"/>
      <c r="C607" s="418"/>
      <c r="D607" s="419"/>
      <c r="E607" s="419"/>
      <c r="F607" s="419"/>
      <c r="G607" s="419"/>
      <c r="H607" s="419"/>
      <c r="I607" s="419"/>
      <c r="J607" s="420"/>
      <c r="K607" s="420"/>
      <c r="L607" s="419"/>
      <c r="M607" s="419"/>
      <c r="N607" s="419"/>
      <c r="O607" s="420"/>
      <c r="P607" s="420"/>
      <c r="Q607" s="419"/>
      <c r="R607" s="420"/>
      <c r="S607" s="420"/>
      <c r="T607" s="420"/>
      <c r="U607" s="420"/>
      <c r="V607" s="421"/>
    </row>
    <row r="608" spans="1:22">
      <c r="A608" s="416"/>
      <c r="B608" s="422"/>
      <c r="C608" s="423"/>
      <c r="D608" s="424"/>
      <c r="E608" s="424"/>
      <c r="F608" s="424"/>
      <c r="G608" s="424"/>
      <c r="H608" s="424"/>
      <c r="I608" s="424"/>
      <c r="J608" s="426"/>
      <c r="K608" s="426"/>
      <c r="L608" s="424"/>
      <c r="M608" s="424"/>
      <c r="N608" s="424"/>
      <c r="O608" s="426"/>
      <c r="P608" s="426"/>
      <c r="Q608" s="424"/>
      <c r="R608" s="426"/>
      <c r="S608" s="426"/>
      <c r="T608" s="426"/>
      <c r="U608" s="426"/>
      <c r="V608" s="421"/>
    </row>
    <row r="609" spans="1:22">
      <c r="A609" s="416"/>
      <c r="B609" s="394"/>
      <c r="C609" s="413"/>
      <c r="D609" s="414"/>
      <c r="E609" s="414"/>
      <c r="F609" s="414"/>
      <c r="G609" s="414"/>
      <c r="H609" s="414"/>
      <c r="I609" s="414"/>
      <c r="J609" s="415"/>
      <c r="K609" s="415"/>
      <c r="L609" s="414"/>
      <c r="M609" s="414"/>
      <c r="N609" s="414"/>
      <c r="O609" s="415"/>
      <c r="P609" s="415"/>
      <c r="Q609" s="414"/>
      <c r="R609" s="415"/>
      <c r="S609" s="415"/>
      <c r="T609" s="415"/>
      <c r="U609" s="415"/>
      <c r="V609" s="421"/>
    </row>
    <row r="610" spans="1:22">
      <c r="A610" s="416"/>
      <c r="B610" s="417"/>
      <c r="C610" s="418"/>
      <c r="D610" s="419"/>
      <c r="E610" s="419"/>
      <c r="F610" s="419"/>
      <c r="G610" s="419"/>
      <c r="H610" s="419"/>
      <c r="I610" s="419"/>
      <c r="J610" s="420"/>
      <c r="K610" s="420"/>
      <c r="L610" s="419"/>
      <c r="M610" s="419"/>
      <c r="N610" s="419"/>
      <c r="O610" s="420"/>
      <c r="P610" s="420"/>
      <c r="Q610" s="419"/>
      <c r="R610" s="420"/>
      <c r="S610" s="420"/>
      <c r="T610" s="420"/>
      <c r="U610" s="420"/>
      <c r="V610" s="421"/>
    </row>
    <row r="611" spans="1:22">
      <c r="A611" s="416"/>
      <c r="B611" s="422"/>
      <c r="C611" s="423"/>
      <c r="D611" s="424"/>
      <c r="E611" s="424"/>
      <c r="F611" s="424"/>
      <c r="G611" s="424"/>
      <c r="H611" s="424"/>
      <c r="I611" s="424"/>
      <c r="J611" s="426"/>
      <c r="K611" s="426"/>
      <c r="L611" s="424"/>
      <c r="M611" s="424"/>
      <c r="N611" s="424"/>
      <c r="O611" s="426"/>
      <c r="P611" s="426"/>
      <c r="Q611" s="424"/>
      <c r="R611" s="426"/>
      <c r="S611" s="426"/>
      <c r="T611" s="426"/>
      <c r="U611" s="426"/>
      <c r="V611" s="421"/>
    </row>
    <row r="612" spans="1:22">
      <c r="A612" s="416"/>
      <c r="B612" s="394"/>
      <c r="C612" s="413"/>
      <c r="D612" s="414"/>
      <c r="E612" s="414"/>
      <c r="F612" s="414"/>
      <c r="G612" s="414"/>
      <c r="H612" s="414"/>
      <c r="I612" s="414"/>
      <c r="J612" s="415"/>
      <c r="K612" s="415"/>
      <c r="L612" s="414"/>
      <c r="M612" s="414"/>
      <c r="N612" s="414"/>
      <c r="O612" s="415"/>
      <c r="P612" s="415"/>
      <c r="Q612" s="414"/>
      <c r="R612" s="415"/>
      <c r="S612" s="415"/>
      <c r="T612" s="415"/>
      <c r="U612" s="415"/>
      <c r="V612" s="421"/>
    </row>
    <row r="613" spans="1:22">
      <c r="A613" s="416"/>
      <c r="B613" s="417"/>
      <c r="C613" s="418"/>
      <c r="D613" s="419"/>
      <c r="E613" s="419"/>
      <c r="F613" s="419"/>
      <c r="G613" s="419"/>
      <c r="H613" s="419"/>
      <c r="I613" s="419"/>
      <c r="J613" s="420"/>
      <c r="K613" s="420"/>
      <c r="L613" s="419"/>
      <c r="M613" s="419"/>
      <c r="N613" s="419"/>
      <c r="O613" s="420"/>
      <c r="P613" s="420"/>
      <c r="Q613" s="419"/>
      <c r="R613" s="420"/>
      <c r="S613" s="420"/>
      <c r="T613" s="420"/>
      <c r="U613" s="420"/>
      <c r="V613" s="421"/>
    </row>
    <row r="614" spans="1:22">
      <c r="A614" s="416"/>
      <c r="B614" s="422"/>
      <c r="C614" s="423"/>
      <c r="D614" s="424"/>
      <c r="E614" s="424"/>
      <c r="F614" s="424"/>
      <c r="G614" s="424"/>
      <c r="H614" s="424"/>
      <c r="I614" s="424"/>
      <c r="J614" s="426"/>
      <c r="K614" s="426"/>
      <c r="L614" s="424"/>
      <c r="M614" s="424"/>
      <c r="N614" s="424"/>
      <c r="O614" s="426"/>
      <c r="P614" s="426"/>
      <c r="Q614" s="424"/>
      <c r="R614" s="426"/>
      <c r="S614" s="426"/>
      <c r="T614" s="426"/>
      <c r="U614" s="426"/>
      <c r="V614" s="421"/>
    </row>
    <row r="615" spans="1:22">
      <c r="A615" s="416"/>
      <c r="B615" s="394"/>
      <c r="C615" s="413"/>
      <c r="D615" s="414"/>
      <c r="E615" s="414"/>
      <c r="F615" s="414"/>
      <c r="G615" s="414"/>
      <c r="H615" s="414"/>
      <c r="I615" s="414"/>
      <c r="J615" s="415"/>
      <c r="K615" s="415"/>
      <c r="L615" s="414"/>
      <c r="M615" s="414"/>
      <c r="N615" s="414"/>
      <c r="O615" s="415"/>
      <c r="P615" s="415"/>
      <c r="Q615" s="414"/>
      <c r="R615" s="415"/>
      <c r="S615" s="415"/>
      <c r="T615" s="415"/>
      <c r="U615" s="415"/>
      <c r="V615" s="421"/>
    </row>
    <row r="616" spans="1:22">
      <c r="A616" s="416"/>
      <c r="B616" s="417"/>
      <c r="C616" s="418"/>
      <c r="D616" s="419"/>
      <c r="E616" s="419"/>
      <c r="F616" s="419"/>
      <c r="G616" s="419"/>
      <c r="H616" s="419"/>
      <c r="I616" s="419"/>
      <c r="J616" s="420"/>
      <c r="K616" s="420"/>
      <c r="L616" s="419"/>
      <c r="M616" s="419"/>
      <c r="N616" s="419"/>
      <c r="O616" s="420"/>
      <c r="P616" s="420"/>
      <c r="Q616" s="419"/>
      <c r="R616" s="420"/>
      <c r="S616" s="420"/>
      <c r="T616" s="420"/>
      <c r="U616" s="420"/>
      <c r="V616" s="421"/>
    </row>
    <row r="617" spans="1:22">
      <c r="A617" s="440"/>
      <c r="B617" s="422"/>
      <c r="C617" s="423"/>
      <c r="D617" s="424"/>
      <c r="E617" s="424"/>
      <c r="F617" s="424"/>
      <c r="G617" s="424"/>
      <c r="H617" s="424"/>
      <c r="I617" s="424"/>
      <c r="J617" s="426"/>
      <c r="K617" s="426"/>
      <c r="L617" s="424"/>
      <c r="M617" s="424"/>
      <c r="N617" s="424"/>
      <c r="O617" s="426"/>
      <c r="P617" s="426"/>
      <c r="Q617" s="424"/>
      <c r="R617" s="426"/>
      <c r="S617" s="426"/>
      <c r="T617" s="426"/>
      <c r="U617" s="426"/>
      <c r="V617" s="4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3213-1D4C-4F0B-B105-DC4FC802B970}">
  <sheetPr>
    <tabColor theme="4" tint="0.39997558519241921"/>
  </sheetPr>
  <dimension ref="A1:AG83"/>
  <sheetViews>
    <sheetView tabSelected="1" workbookViewId="0">
      <selection activeCell="C5" sqref="C5"/>
    </sheetView>
  </sheetViews>
  <sheetFormatPr defaultRowHeight="15.5"/>
  <cols>
    <col min="1" max="1" width="11.765625" style="202" customWidth="1"/>
    <col min="2" max="3" width="10.3828125" bestFit="1" customWidth="1"/>
    <col min="4" max="5" width="10" bestFit="1" customWidth="1"/>
    <col min="6" max="9" width="10.3828125" bestFit="1" customWidth="1"/>
    <col min="10" max="15" width="9.23046875" customWidth="1"/>
    <col min="16" max="17" width="11.3828125" bestFit="1" customWidth="1"/>
    <col min="18" max="18" width="11.53515625" customWidth="1"/>
    <col min="19" max="19" width="10.3828125" bestFit="1" customWidth="1"/>
    <col min="20" max="21" width="11" bestFit="1" customWidth="1"/>
    <col min="22" max="23" width="10.3828125" bestFit="1" customWidth="1"/>
    <col min="24" max="25" width="9.23046875" customWidth="1"/>
    <col min="26" max="27" width="11" bestFit="1" customWidth="1"/>
    <col min="28" max="29" width="10" bestFit="1" customWidth="1"/>
    <col min="30" max="31" width="9.23046875" customWidth="1"/>
    <col min="32" max="33" width="10.3828125" bestFit="1" customWidth="1"/>
  </cols>
  <sheetData>
    <row r="1" spans="1:33">
      <c r="A1" s="201" t="s">
        <v>661</v>
      </c>
    </row>
    <row r="2" spans="1:33">
      <c r="B2" s="203" t="s">
        <v>662</v>
      </c>
      <c r="C2" s="204"/>
      <c r="D2" s="204"/>
      <c r="E2" s="204"/>
      <c r="F2" s="204"/>
      <c r="G2" s="204"/>
      <c r="H2" s="204"/>
      <c r="I2" s="204"/>
      <c r="J2" s="204"/>
      <c r="K2" s="204"/>
      <c r="L2" s="204"/>
      <c r="M2" s="204"/>
      <c r="N2" s="204"/>
      <c r="O2" s="204"/>
      <c r="P2" s="204"/>
      <c r="Q2" s="204"/>
      <c r="R2" s="205" t="s">
        <v>663</v>
      </c>
      <c r="S2" s="206"/>
      <c r="T2" s="206"/>
      <c r="U2" s="206"/>
      <c r="V2" s="206"/>
      <c r="W2" s="206"/>
      <c r="X2" s="206"/>
      <c r="Y2" s="206"/>
      <c r="Z2" s="206"/>
      <c r="AA2" s="206"/>
      <c r="AB2" s="207" t="s">
        <v>664</v>
      </c>
      <c r="AC2" s="208"/>
      <c r="AD2" s="208"/>
      <c r="AE2" s="208"/>
      <c r="AF2" s="208"/>
      <c r="AG2" s="208"/>
    </row>
    <row r="3" spans="1:33">
      <c r="B3" s="209">
        <v>1</v>
      </c>
      <c r="C3" s="210"/>
      <c r="D3" s="209">
        <v>2</v>
      </c>
      <c r="E3" s="210"/>
      <c r="F3" s="209">
        <v>3</v>
      </c>
      <c r="G3" s="210"/>
      <c r="H3" s="209">
        <v>4</v>
      </c>
      <c r="I3" s="210"/>
      <c r="J3" s="209">
        <v>5</v>
      </c>
      <c r="K3" s="210"/>
      <c r="L3" s="209">
        <v>6</v>
      </c>
      <c r="M3" s="210"/>
      <c r="N3" s="209">
        <v>15</v>
      </c>
      <c r="O3" s="210"/>
      <c r="P3" s="209" t="s">
        <v>665</v>
      </c>
      <c r="Q3" s="211"/>
      <c r="R3" s="212">
        <v>7</v>
      </c>
      <c r="S3" s="213"/>
      <c r="T3" s="212">
        <v>8</v>
      </c>
      <c r="U3" s="213"/>
      <c r="V3" s="212">
        <v>9</v>
      </c>
      <c r="W3" s="213"/>
      <c r="X3" s="212">
        <v>10</v>
      </c>
      <c r="Y3" s="213"/>
      <c r="Z3" s="212" t="s">
        <v>665</v>
      </c>
      <c r="AA3" s="213"/>
      <c r="AB3" s="214">
        <v>12</v>
      </c>
      <c r="AC3" s="215"/>
      <c r="AD3" s="214">
        <v>13</v>
      </c>
      <c r="AE3" s="215"/>
      <c r="AF3" s="214" t="s">
        <v>665</v>
      </c>
      <c r="AG3" s="215"/>
    </row>
    <row r="4" spans="1:33" s="222" customFormat="1">
      <c r="A4" s="216"/>
      <c r="B4" s="217">
        <v>2018</v>
      </c>
      <c r="C4" s="218">
        <v>2019</v>
      </c>
      <c r="D4" s="217">
        <v>2018</v>
      </c>
      <c r="E4" s="218">
        <v>2019</v>
      </c>
      <c r="F4" s="217">
        <v>2018</v>
      </c>
      <c r="G4" s="218">
        <v>2019</v>
      </c>
      <c r="H4" s="217">
        <v>2018</v>
      </c>
      <c r="I4" s="218">
        <v>2019</v>
      </c>
      <c r="J4" s="217">
        <v>2018</v>
      </c>
      <c r="K4" s="218">
        <v>2019</v>
      </c>
      <c r="L4" s="217">
        <v>2018</v>
      </c>
      <c r="M4" s="218">
        <v>2019</v>
      </c>
      <c r="N4" s="217">
        <v>2018</v>
      </c>
      <c r="O4" s="218">
        <v>2019</v>
      </c>
      <c r="P4" s="217">
        <v>2018</v>
      </c>
      <c r="Q4" s="218">
        <v>2019</v>
      </c>
      <c r="R4" s="219">
        <v>2018</v>
      </c>
      <c r="S4" s="220">
        <v>2019</v>
      </c>
      <c r="T4" s="219">
        <v>2018</v>
      </c>
      <c r="U4" s="220">
        <v>2019</v>
      </c>
      <c r="V4" s="219">
        <v>2018</v>
      </c>
      <c r="W4" s="220">
        <v>2019</v>
      </c>
      <c r="X4" s="219">
        <v>2018</v>
      </c>
      <c r="Y4" s="220">
        <v>2019</v>
      </c>
      <c r="Z4" s="219">
        <v>2018</v>
      </c>
      <c r="AA4" s="220">
        <v>2019</v>
      </c>
      <c r="AB4" s="219">
        <v>2018</v>
      </c>
      <c r="AC4" s="221">
        <v>2019</v>
      </c>
      <c r="AD4" s="219">
        <v>2018</v>
      </c>
      <c r="AE4" s="221">
        <v>2019</v>
      </c>
      <c r="AF4" s="219">
        <v>2018</v>
      </c>
      <c r="AG4" s="221">
        <v>2019</v>
      </c>
    </row>
    <row r="5" spans="1:33">
      <c r="A5" s="202" t="s">
        <v>666</v>
      </c>
      <c r="B5" s="189">
        <f>GETPIVOTDATA("Sum of OLD-Tot UG SCH Calc",'Pivot Table for Fact Book'!$A$3,"State","AL","type",1,"Type2","Four-Year")</f>
        <v>1976886</v>
      </c>
      <c r="C5" s="190">
        <f>GETPIVOTDATA("Sum of NEW-Tot UG SCH Calc",'Pivot Table for Fact Book'!$A$3,"State","AL","type",1,"Type2","Four-Year")</f>
        <v>1973441</v>
      </c>
      <c r="D5" s="189">
        <f>GETPIVOTDATA("Sum of OLD-Tot UG SCH Calc",'Pivot Table for Fact Book'!$A$3,"State","AL","type",2,"Type2","Four-Year")</f>
        <v>466959</v>
      </c>
      <c r="E5" s="190">
        <f>GETPIVOTDATA("Sum of NEW-Tot UG SCH Calc",'Pivot Table for Fact Book'!$A$3,"State","AL","type",2,"Type2","Four-Year")</f>
        <v>464800</v>
      </c>
      <c r="F5" s="189">
        <f>GETPIVOTDATA("Sum of OLD-Tot UG SCH Calc",'Pivot Table for Fact Book'!$A$3,"State","AL","type",3,"Type2","Four-Year")</f>
        <v>780241</v>
      </c>
      <c r="G5" s="190">
        <f>GETPIVOTDATA("Sum of NEW-Tot UG SCH Calc",'Pivot Table for Fact Book'!$A$3,"State","AL","type",3,"Type2","Four-Year")</f>
        <v>814204</v>
      </c>
      <c r="H5" s="189">
        <f>GETPIVOTDATA("Sum of OLD-Tot UG SCH Calc",'Pivot Table for Fact Book'!$A$3,"State","AL","type",4,"Type2","Four-Year")</f>
        <v>237430</v>
      </c>
      <c r="I5" s="190">
        <f>GETPIVOTDATA("Sum of NEW-Tot UG SCH Calc",'Pivot Table for Fact Book'!$A$3,"State","AL","type",4,"Type2","Four-Year")</f>
        <v>229948</v>
      </c>
      <c r="J5" s="189">
        <f>GETPIVOTDATA("Sum of OLD-Tot UG SCH Calc",'Pivot Table for Fact Book'!$A$3,"State","AL","type",5,"Type2","Four-Year")</f>
        <v>124912</v>
      </c>
      <c r="K5" s="190">
        <f>GETPIVOTDATA("Sum of NEW-Tot UG SCH Calc",'Pivot Table for Fact Book'!$A$3,"State","AL","type",5,"Type2","Four-Year")</f>
        <v>125391</v>
      </c>
      <c r="L5" s="189">
        <f>GETPIVOTDATA("Sum of OLD-Tot UG SCH Calc",'Pivot Table for Fact Book'!$A$3,"State","AL","type",6,"Type2","Four-Year")</f>
        <v>65486</v>
      </c>
      <c r="M5" s="190">
        <f>GETPIVOTDATA("Sum of NEW-Tot UG SCH Calc",'Pivot Table for Fact Book'!$A$3,"State","AL","type",6,"Type2","Four-Year")</f>
        <v>64093</v>
      </c>
      <c r="N5" s="189">
        <f>GETPIVOTDATA("Sum of OLD-Tot UG SCH Calc",'Pivot Table for Fact Book'!$A$3,"State","AL","type",15,"Type2","Four-Year")</f>
        <v>13456</v>
      </c>
      <c r="O5" s="190">
        <f>GETPIVOTDATA("Sum of NEW-Tot UG SCH Calc",'Pivot Table for Fact Book'!$A$3,"State","AL","type",15,"Type2","Four-Year")</f>
        <v>12854</v>
      </c>
      <c r="P5" s="191">
        <f>GETPIVOTDATA("Sum of OLD-Tot UG SCH Calc",'Pivot Table for Fact Book'!$A$3,"State","AL","Type2","Four-Year")</f>
        <v>3665370</v>
      </c>
      <c r="Q5" s="191">
        <f>GETPIVOTDATA("Sum of NEW-Tot UG SCH Calc",'Pivot Table for Fact Book'!$A$3,"State","AL","Type2","Four-Year")</f>
        <v>3684731</v>
      </c>
      <c r="R5" s="189">
        <f>GETPIVOTDATA("Sum of OLD-Tot UG SCH Calc",'Pivot Table for Fact Book'!$A$3,"State","AL","type",7,"Type2","Two-Year")</f>
        <v>0</v>
      </c>
      <c r="S5" s="190">
        <f>GETPIVOTDATA("Sum of NEW-Tot UG SCH Calc",'Pivot Table for Fact Book'!$A$3,"State","AL","type",7,"Type2","Two-Year")</f>
        <v>0</v>
      </c>
      <c r="T5" s="190">
        <f>GETPIVOTDATA("Sum of OLD-Tot UG SCH Calc",'Pivot Table for Fact Book'!$A$3,"State","AL","type",8,"Type2","Two-Year")</f>
        <v>366758</v>
      </c>
      <c r="U5" s="190">
        <f>GETPIVOTDATA("Sum of NEW-Tot UG SCH Calc",'Pivot Table for Fact Book'!$A$3,"State","AL","type",8,"Type2","Two-Year")</f>
        <v>361200</v>
      </c>
      <c r="V5" s="190">
        <f>GETPIVOTDATA("Sum of OLD-Tot UG SCH Calc",'Pivot Table for Fact Book'!$A$3,"State","AL","type",9,"Type2","Two-Year")</f>
        <v>1016846</v>
      </c>
      <c r="W5" s="190">
        <f>GETPIVOTDATA("Sum of NEW-Tot UG SCH Calc",'Pivot Table for Fact Book'!$A$3,"State","AL","type",9,"Type2","Two-Year")</f>
        <v>1002753</v>
      </c>
      <c r="X5" s="190">
        <f>GETPIVOTDATA("Sum of OLD-Tot UG SCH Calc",'Pivot Table for Fact Book'!$A$3,"State","AL","type",10,"Type2","Two-Year")</f>
        <v>315161</v>
      </c>
      <c r="Y5" s="190">
        <f>GETPIVOTDATA("Sum of NEW-Tot UG SCH Calc",'Pivot Table for Fact Book'!$A$3,"State","AL","type",10,"Type2","Two-Year")</f>
        <v>312314</v>
      </c>
      <c r="Z5" s="192">
        <f>GETPIVOTDATA("Sum of OLD-Tot UG SCH Calc",'Pivot Table for Fact Book'!$A$3,"State","AL","Type2","Two-Year")</f>
        <v>1698765</v>
      </c>
      <c r="AA5" s="192">
        <f>GETPIVOTDATA("Sum of NEW-Tot UG SCH Calc",'Pivot Table for Fact Book'!$A$3,"State","AL","Type2","Two-Year")</f>
        <v>1676267</v>
      </c>
      <c r="AB5" s="189">
        <f>+GETPIVOTDATA("Sum of OLD-Tot UG SCH Calc",'Pivot Table for Fact Book'!$A$3,"State","AL","type",12,"type2","Techncial")</f>
        <v>41951</v>
      </c>
      <c r="AC5" s="190">
        <f>+GETPIVOTDATA("Sum of NEW-Tot UG SCH Calc",'Pivot Table for Fact Book'!$A$3,"State","AL","type",12,"type2","Techncial")</f>
        <v>44337</v>
      </c>
      <c r="AD5" s="189">
        <f>+GETPIVOTDATA("Sum of OLD-Tot UG SCH Calc",'Pivot Table for Fact Book'!$A$3,"State","AL","type",13,"type2","Techncial")</f>
        <v>40961</v>
      </c>
      <c r="AE5" s="190">
        <f>+GETPIVOTDATA("Sum of NEW-Tot UG SCH Calc",'Pivot Table for Fact Book'!$A$3,"State","AL","type",13,"type2","Techncial")</f>
        <v>45115</v>
      </c>
      <c r="AF5" s="193">
        <f>+GETPIVOTDATA("Sum of OLD-Tot UG SCH Calc",'Pivot Table for Fact Book'!$A$3,"State","AL","type2","Techncial")</f>
        <v>82912</v>
      </c>
      <c r="AG5" s="194">
        <f>+GETPIVOTDATA("Sum of NEW-Tot UG SCH Calc",'Pivot Table for Fact Book'!$A$3,"State","AL","type2","Techncial")</f>
        <v>89452</v>
      </c>
    </row>
    <row r="6" spans="1:33">
      <c r="A6" s="202" t="s">
        <v>667</v>
      </c>
      <c r="B6" s="189">
        <f>GETPIVOTDATA("Sum of OLD-Tot UG SCH Calc",'Pivot Table for Fact Book'!$A$3,"State","AR","type",1,"Type2","Four-Year")</f>
        <v>658267</v>
      </c>
      <c r="C6" s="190">
        <f>GETPIVOTDATA("Sum of NEW-Tot UG SCH Calc",'Pivot Table for Fact Book'!$A$3,"State","AR","type",1,"Type2","Four-Year")</f>
        <v>670354</v>
      </c>
      <c r="D6" s="189">
        <f>GETPIVOTDATA("Sum of OLD-Tot UG SCH Calc",'Pivot Table for Fact Book'!$A$3,"State","AR","type",2,"Type2","Four-Year")</f>
        <v>203956</v>
      </c>
      <c r="E6" s="190">
        <f>GETPIVOTDATA("Sum of NEW-Tot UG SCH Calc",'Pivot Table for Fact Book'!$A$3,"State","AR","type",2,"Type2","Four-Year")</f>
        <v>168675</v>
      </c>
      <c r="F6" s="189">
        <f>GETPIVOTDATA("Sum of OLD-Tot UG SCH Calc",'Pivot Table for Fact Book'!$A$3,"State","AR","type",3,"Type2","Four-Year")</f>
        <v>766207</v>
      </c>
      <c r="G6" s="190">
        <f>GETPIVOTDATA("Sum of NEW-Tot UG SCH Calc",'Pivot Table for Fact Book'!$A$3,"State","AR","type",3,"Type2","Four-Year")</f>
        <v>756177</v>
      </c>
      <c r="H6" s="189">
        <f>GETPIVOTDATA("Sum of OLD-Tot UG SCH Calc",'Pivot Table for Fact Book'!$A$3,"State","AR","type",4,"Type2","Four-Year")</f>
        <v>258237</v>
      </c>
      <c r="I6" s="190">
        <f>GETPIVOTDATA("Sum of NEW-Tot UG SCH Calc",'Pivot Table for Fact Book'!$A$3,"State","AR","type",4,"Type2","Four-Year")</f>
        <v>260074</v>
      </c>
      <c r="J6" s="189">
        <f>GETPIVOTDATA("Sum of OLD-Tot UG SCH Calc",'Pivot Table for Fact Book'!$A$3,"State","AR","type",5,"Type2","Four-Year")</f>
        <v>0</v>
      </c>
      <c r="K6" s="190">
        <f>GETPIVOTDATA("Sum of NEW-Tot UG SCH Calc",'Pivot Table for Fact Book'!$A$3,"State","AR","type",5,"Type2","Four-Year")</f>
        <v>0</v>
      </c>
      <c r="L6" s="189">
        <f>GETPIVOTDATA("Sum of OLD-Tot UG SCH Calc",'Pivot Table for Fact Book'!$A$3,"State","AR","type",6,"Type2","Four-Year")</f>
        <v>230655</v>
      </c>
      <c r="M6" s="190">
        <f>GETPIVOTDATA("Sum of NEW-Tot UG SCH Calc",'Pivot Table for Fact Book'!$A$3,"State","AR","type",6,"Type2","Four-Year")</f>
        <v>227132</v>
      </c>
      <c r="N6" s="189">
        <f>GETPIVOTDATA("Sum of OLD-Tot UG SCH Calc",'Pivot Table for Fact Book'!$A$3,"State","AR","type",15,"Type2","Four-Year")</f>
        <v>17308</v>
      </c>
      <c r="O6" s="190">
        <f>GETPIVOTDATA("Sum of NEW-Tot UG SCH Calc",'Pivot Table for Fact Book'!$A$3,"State","AR","type",15,"Type2","Four-Year")</f>
        <v>19976</v>
      </c>
      <c r="P6" s="191">
        <f>GETPIVOTDATA("Sum of OLD-Tot UG SCH Calc",'Pivot Table for Fact Book'!$A$3,"State","AR","Type2","Four-Year")</f>
        <v>2134630</v>
      </c>
      <c r="Q6" s="191">
        <f>GETPIVOTDATA("Sum of NEW-Tot UG SCH Calc",'Pivot Table for Fact Book'!$A$3,"State","AR","Type2","Four-Year")</f>
        <v>2102388</v>
      </c>
      <c r="R6" s="189">
        <f>GETPIVOTDATA("Sum of OLD-Tot UG SCH Calc",'Pivot Table for Fact Book'!$A$3,"State","AR","type",7,"Type2","Two-Year")</f>
        <v>0</v>
      </c>
      <c r="S6" s="190">
        <f>GETPIVOTDATA("Sum of NEW-Tot UG SCH Calc",'Pivot Table for Fact Book'!$A$3,"State","AR","type",7,"Type2","Two-Year")</f>
        <v>0</v>
      </c>
      <c r="T6" s="190">
        <f>GETPIVOTDATA("Sum of OLD-Tot UG SCH Calc",'Pivot Table for Fact Book'!$A$3,"State","AR","type",8,"Type2","Two-Year")</f>
        <v>148520</v>
      </c>
      <c r="U6" s="190">
        <f>GETPIVOTDATA("Sum of NEW-Tot UG SCH Calc",'Pivot Table for Fact Book'!$A$3,"State","AR","type",8,"Type2","Two-Year")</f>
        <v>149512</v>
      </c>
      <c r="V6" s="190">
        <f>GETPIVOTDATA("Sum of OLD-Tot UG SCH Calc",'Pivot Table for Fact Book'!$A$3,"State","AR","type",9,"Type2","Two-Year")</f>
        <v>199404</v>
      </c>
      <c r="W6" s="190">
        <f>GETPIVOTDATA("Sum of NEW-Tot UG SCH Calc",'Pivot Table for Fact Book'!$A$3,"State","AR","type",9,"Type2","Two-Year")</f>
        <v>187247</v>
      </c>
      <c r="X6" s="190">
        <f>GETPIVOTDATA("Sum of OLD-Tot UG SCH Calc",'Pivot Table for Fact Book'!$A$3,"State","AR","type",10,"Type2","Two-Year")</f>
        <v>601572</v>
      </c>
      <c r="Y6" s="190">
        <f>GETPIVOTDATA("Sum of NEW-Tot UG SCH Calc",'Pivot Table for Fact Book'!$A$3,"State","AR","type",10,"Type2","Two-Year")</f>
        <v>591570</v>
      </c>
      <c r="Z6" s="192">
        <f>GETPIVOTDATA("Sum of OLD-Tot UG SCH Calc",'Pivot Table for Fact Book'!$A$3,"State","AR","Type2","Two-Year")</f>
        <v>949496</v>
      </c>
      <c r="AA6" s="192">
        <f>GETPIVOTDATA("Sum of NEW-Tot UG SCH Calc",'Pivot Table for Fact Book'!$A$3,"State","AR","Type2","Two-Year")</f>
        <v>928329</v>
      </c>
      <c r="AB6" s="189">
        <f>+GETPIVOTDATA("Sum of OLD-Tot UG SCH Calc",'Pivot Table for Fact Book'!$A$3,"State","AR","type",12,"type2","Techncial")</f>
        <v>0</v>
      </c>
      <c r="AC6" s="190">
        <f>+GETPIVOTDATA("Sum of NEW-Tot UG SCH Calc",'Pivot Table for Fact Book'!$A$3,"State","AR","type",12,"type2","Techncial")</f>
        <v>0</v>
      </c>
      <c r="AD6" s="189">
        <f>+GETPIVOTDATA("Sum of OLD-Tot UG SCH Calc",'Pivot Table for Fact Book'!$A$3,"State","AR","type",13,"type2","Techncial")</f>
        <v>0</v>
      </c>
      <c r="AE6" s="190">
        <f>+GETPIVOTDATA("Sum of NEW-Tot UG SCH Calc",'Pivot Table for Fact Book'!$A$3,"State","AR","type",13,"type2","Techncial")</f>
        <v>0</v>
      </c>
      <c r="AF6" s="193">
        <f>+GETPIVOTDATA("Sum of OLD-Tot UG SCH Calc",'Pivot Table for Fact Book'!$A$3,"State","AR","type2","Techncial")</f>
        <v>0</v>
      </c>
      <c r="AG6" s="194">
        <f>+GETPIVOTDATA("Sum of NEW-Tot UG SCH Calc",'Pivot Table for Fact Book'!$A$3,"State","AR","type2","Techncial")</f>
        <v>0</v>
      </c>
    </row>
    <row r="7" spans="1:33">
      <c r="A7" s="202" t="s">
        <v>668</v>
      </c>
      <c r="B7" s="189">
        <f>GETPIVOTDATA("Sum of OLD-Tot UG SCH Calc",'Pivot Table for Fact Book'!$A$3,"State","DE","type",1,"Type2","Four-Year")</f>
        <v>593876</v>
      </c>
      <c r="C7" s="190">
        <f>GETPIVOTDATA("Sum of NEW-Tot UG SCH Calc",'Pivot Table for Fact Book'!$A$3,"State","DE","type",1,"Type2","Four-Year")</f>
        <v>599291</v>
      </c>
      <c r="D7" s="189">
        <f>GETPIVOTDATA("Sum of OLD-Tot UG SCH Calc",'Pivot Table for Fact Book'!$A$3,"State","DE","type",2,"Type2","Four-Year")</f>
        <v>0</v>
      </c>
      <c r="E7" s="190">
        <f>GETPIVOTDATA("Sum of NEW-Tot UG SCH Calc",'Pivot Table for Fact Book'!$A$3,"State","DE","type",2,"Type2","Four-Year")</f>
        <v>0</v>
      </c>
      <c r="F7" s="189">
        <f>GETPIVOTDATA("Sum of OLD-Tot UG SCH Calc",'Pivot Table for Fact Book'!$A$3,"State","DE","type",3,"Type2","Four-Year")</f>
        <v>136454</v>
      </c>
      <c r="G7" s="190">
        <f>GETPIVOTDATA("Sum of NEW-Tot UG SCH Calc",'Pivot Table for Fact Book'!$A$3,"State","DE","type",3,"Type2","Four-Year")</f>
        <v>128111</v>
      </c>
      <c r="H7" s="189">
        <f>GETPIVOTDATA("Sum of OLD-Tot UG SCH Calc",'Pivot Table for Fact Book'!$A$3,"State","DE","type",4,"Type2","Four-Year")</f>
        <v>0</v>
      </c>
      <c r="I7" s="190">
        <f>GETPIVOTDATA("Sum of NEW-Tot UG SCH Calc",'Pivot Table for Fact Book'!$A$3,"State","DE","type",4,"Type2","Four-Year")</f>
        <v>0</v>
      </c>
      <c r="J7" s="189">
        <f>GETPIVOTDATA("Sum of OLD-Tot UG SCH Calc",'Pivot Table for Fact Book'!$A$3,"State","DE","type",5,"Type2","Four-Year")</f>
        <v>0</v>
      </c>
      <c r="K7" s="190">
        <f>GETPIVOTDATA("Sum of NEW-Tot UG SCH Calc",'Pivot Table for Fact Book'!$A$3,"State","DE","type",5,"Type2","Four-Year")</f>
        <v>0</v>
      </c>
      <c r="L7" s="189">
        <f>GETPIVOTDATA("Sum of OLD-Tot UG SCH Calc",'Pivot Table for Fact Book'!$A$3,"State","DE","type",6,"Type2","Four-Year")</f>
        <v>0</v>
      </c>
      <c r="M7" s="190">
        <f>GETPIVOTDATA("Sum of NEW-Tot UG SCH Calc",'Pivot Table for Fact Book'!$A$3,"State","DE","type",6,"Type2","Four-Year")</f>
        <v>0</v>
      </c>
      <c r="N7" s="189">
        <f>GETPIVOTDATA("Sum of OLD-Tot UG SCH Calc",'Pivot Table for Fact Book'!$A$3,"State","DE","type",15,"Type2","Four-Year")</f>
        <v>0</v>
      </c>
      <c r="O7" s="190">
        <f>GETPIVOTDATA("Sum of NEW-Tot UG SCH Calc",'Pivot Table for Fact Book'!$A$3,"State","DE","type",15,"Type2","Four-Year")</f>
        <v>0</v>
      </c>
      <c r="P7" s="191">
        <f>GETPIVOTDATA("Sum of OLD-Tot UG SCH Calc",'Pivot Table for Fact Book'!$A$3,"State","DE","Type2","Four-Year")</f>
        <v>730330</v>
      </c>
      <c r="Q7" s="191">
        <f>GETPIVOTDATA("Sum of NEW-Tot UG SCH Calc",'Pivot Table for Fact Book'!$A$3,"State","DE","Type2","Four-Year")</f>
        <v>727402</v>
      </c>
      <c r="R7" s="189">
        <f>GETPIVOTDATA("Sum of OLD-Tot UG SCH Calc",'Pivot Table for Fact Book'!$A$3,"State","DE","type",7,"Type2","Two-Year")</f>
        <v>0</v>
      </c>
      <c r="S7" s="190">
        <f>GETPIVOTDATA("Sum of NEW-Tot UG SCH Calc",'Pivot Table for Fact Book'!$A$3,"State","DE","type",7,"Type2","Two-Year")</f>
        <v>0</v>
      </c>
      <c r="T7" s="190">
        <f>GETPIVOTDATA("Sum of OLD-Tot UG SCH Calc",'Pivot Table for Fact Book'!$A$3,"State","DE","type",8,"Type2","Two-Year")</f>
        <v>0</v>
      </c>
      <c r="U7" s="190">
        <f>GETPIVOTDATA("Sum of NEW-Tot UG SCH Calc",'Pivot Table for Fact Book'!$A$3,"State","DE","type",8,"Type2","Two-Year")</f>
        <v>0</v>
      </c>
      <c r="V7" s="190">
        <f>GETPIVOTDATA("Sum of OLD-Tot UG SCH Calc",'Pivot Table for Fact Book'!$A$3,"State","DE","type",9,"Type2","Two-Year")</f>
        <v>270379</v>
      </c>
      <c r="W7" s="190">
        <f>GETPIVOTDATA("Sum of NEW-Tot UG SCH Calc",'Pivot Table for Fact Book'!$A$3,"State","DE","type",9,"Type2","Two-Year")</f>
        <v>259787</v>
      </c>
      <c r="X7" s="190">
        <f>GETPIVOTDATA("Sum of OLD-Tot UG SCH Calc",'Pivot Table for Fact Book'!$A$3,"State","DE","type",10,"Type2","Two-Year")</f>
        <v>0</v>
      </c>
      <c r="Y7" s="190">
        <f>GETPIVOTDATA("Sum of NEW-Tot UG SCH Calc",'Pivot Table for Fact Book'!$A$3,"State","DE","type",10,"Type2","Two-Year")</f>
        <v>0</v>
      </c>
      <c r="Z7" s="192">
        <f>GETPIVOTDATA("Sum of OLD-Tot UG SCH Calc",'Pivot Table for Fact Book'!$A$3,"State","DE","Type2","Two-Year")</f>
        <v>270379</v>
      </c>
      <c r="AA7" s="192">
        <f>GETPIVOTDATA("Sum of NEW-Tot UG SCH Calc",'Pivot Table for Fact Book'!$A$3,"State","DE","Type2","Two-Year")</f>
        <v>259787</v>
      </c>
      <c r="AB7" s="189">
        <f>+GETPIVOTDATA("Sum of OLD-Tot UG SCH Calc",'Pivot Table for Fact Book'!$A$3,"State","DE","type",12,"type2","Techncial")</f>
        <v>0</v>
      </c>
      <c r="AC7" s="190">
        <f>+GETPIVOTDATA("Sum of NEW-Tot UG SCH Calc",'Pivot Table for Fact Book'!$A$3,"State","DE","type",12,"type2","Techncial")</f>
        <v>0</v>
      </c>
      <c r="AD7" s="189">
        <f>+GETPIVOTDATA("Sum of OLD-Tot UG SCH Calc",'Pivot Table for Fact Book'!$A$3,"State","DE","type",13,"type2","Techncial")</f>
        <v>0</v>
      </c>
      <c r="AE7" s="190">
        <f>+GETPIVOTDATA("Sum of NEW-Tot UG SCH Calc",'Pivot Table for Fact Book'!$A$3,"State","DE","type",13,"type2","Techncial")</f>
        <v>0</v>
      </c>
      <c r="AF7" s="193">
        <f>+GETPIVOTDATA("Sum of OLD-Tot UG SCH Calc",'Pivot Table for Fact Book'!$A$3,"State","DE","type2","Techncial")</f>
        <v>0</v>
      </c>
      <c r="AG7" s="194">
        <f>+GETPIVOTDATA("Sum of NEW-Tot UG SCH Calc",'Pivot Table for Fact Book'!$A$3,"State","DE","type2","Techncial")</f>
        <v>0</v>
      </c>
    </row>
    <row r="8" spans="1:33">
      <c r="A8" s="202" t="s">
        <v>669</v>
      </c>
      <c r="B8" s="189">
        <f>GETPIVOTDATA("Sum of OLD-Tot UG SCH Calc",'Pivot Table for Fact Book'!$A$3,"State","FL","type",1,"Type2","Four-Year")</f>
        <v>0</v>
      </c>
      <c r="C8" s="190">
        <f>GETPIVOTDATA("Sum of NEW-Tot UG SCH Calc",'Pivot Table for Fact Book'!$A$3,"State","FL","type",1,"Type2","Four-Year")</f>
        <v>0</v>
      </c>
      <c r="D8" s="189">
        <f>GETPIVOTDATA("Sum of OLD-Tot UG SCH Calc",'Pivot Table for Fact Book'!$A$3,"State","FL","type",2,"Type2","Four-Year")</f>
        <v>0</v>
      </c>
      <c r="E8" s="190">
        <f>GETPIVOTDATA("Sum of NEW-Tot UG SCH Calc",'Pivot Table for Fact Book'!$A$3,"State","FL","type",2,"Type2","Four-Year")</f>
        <v>0</v>
      </c>
      <c r="F8" s="189">
        <f>GETPIVOTDATA("Sum of OLD-Tot UG SCH Calc",'Pivot Table for Fact Book'!$A$3,"State","FL","type",3,"Type2","Four-Year")</f>
        <v>0</v>
      </c>
      <c r="G8" s="190">
        <f>GETPIVOTDATA("Sum of NEW-Tot UG SCH Calc",'Pivot Table for Fact Book'!$A$3,"State","FL","type",3,"Type2","Four-Year")</f>
        <v>0</v>
      </c>
      <c r="H8" s="189">
        <f>GETPIVOTDATA("Sum of OLD-Tot UG SCH Calc",'Pivot Table for Fact Book'!$A$3,"State","FL","type",4,"Type2","Four-Year")</f>
        <v>0</v>
      </c>
      <c r="I8" s="190">
        <f>GETPIVOTDATA("Sum of NEW-Tot UG SCH Calc",'Pivot Table for Fact Book'!$A$3,"State","FL","type",4,"Type2","Four-Year")</f>
        <v>0</v>
      </c>
      <c r="J8" s="189">
        <f>GETPIVOTDATA("Sum of OLD-Tot UG SCH Calc",'Pivot Table for Fact Book'!$A$3,"State","FL","type",5,"Type2","Four-Year")</f>
        <v>0</v>
      </c>
      <c r="K8" s="190">
        <f>GETPIVOTDATA("Sum of NEW-Tot UG SCH Calc",'Pivot Table for Fact Book'!$A$3,"State","FL","type",5,"Type2","Four-Year")</f>
        <v>0</v>
      </c>
      <c r="L8" s="189">
        <f>GETPIVOTDATA("Sum of OLD-Tot UG SCH Calc",'Pivot Table for Fact Book'!$A$3,"State","FL","type",6,"Type2","Four-Year")</f>
        <v>0</v>
      </c>
      <c r="M8" s="190">
        <f>GETPIVOTDATA("Sum of NEW-Tot UG SCH Calc",'Pivot Table for Fact Book'!$A$3,"State","FL","type",6,"Type2","Four-Year")</f>
        <v>0</v>
      </c>
      <c r="N8" s="189">
        <f>GETPIVOTDATA("Sum of OLD-Tot UG SCH Calc",'Pivot Table for Fact Book'!$A$3,"State","FL","type",15,"Type2","Four-Year")</f>
        <v>0</v>
      </c>
      <c r="O8" s="190">
        <f>GETPIVOTDATA("Sum of NEW-Tot UG SCH Calc",'Pivot Table for Fact Book'!$A$3,"State","FL","type",15,"Type2","Four-Year")</f>
        <v>0</v>
      </c>
      <c r="P8" s="191">
        <f>GETPIVOTDATA("Sum of OLD-Tot UG SCH Calc",'Pivot Table for Fact Book'!$A$3,"State","FL","Type2","Four-Year")</f>
        <v>0</v>
      </c>
      <c r="Q8" s="191">
        <f>GETPIVOTDATA("Sum of NEW-Tot UG SCH Calc",'Pivot Table for Fact Book'!$A$3,"State","FL","Type2","Four-Year")</f>
        <v>0</v>
      </c>
      <c r="R8" s="189">
        <f>GETPIVOTDATA("Sum of OLD-Tot UG SCH Calc",'Pivot Table for Fact Book'!$A$3,"State","FL","type",7,"Type2","Two-Year")</f>
        <v>8182107</v>
      </c>
      <c r="S8" s="190">
        <f>GETPIVOTDATA("Sum of NEW-Tot UG SCH Calc",'Pivot Table for Fact Book'!$A$3,"State","FL","type",7,"Type2","Two-Year")</f>
        <v>8185552</v>
      </c>
      <c r="T8" s="190">
        <f>GETPIVOTDATA("Sum of OLD-Tot UG SCH Calc",'Pivot Table for Fact Book'!$A$3,"State","FL","type",8,"Type2","Two-Year")</f>
        <v>845236</v>
      </c>
      <c r="U8" s="190">
        <f>GETPIVOTDATA("Sum of NEW-Tot UG SCH Calc",'Pivot Table for Fact Book'!$A$3,"State","FL","type",8,"Type2","Two-Year")</f>
        <v>846901</v>
      </c>
      <c r="V8" s="190">
        <f>GETPIVOTDATA("Sum of OLD-Tot UG SCH Calc",'Pivot Table for Fact Book'!$A$3,"State","FL","type",9,"Type2","Two-Year")</f>
        <v>0</v>
      </c>
      <c r="W8" s="190">
        <f>GETPIVOTDATA("Sum of NEW-Tot UG SCH Calc",'Pivot Table for Fact Book'!$A$3,"State","FL","type",9,"Type2","Two-Year")</f>
        <v>0</v>
      </c>
      <c r="X8" s="190">
        <f>GETPIVOTDATA("Sum of OLD-Tot UG SCH Calc",'Pivot Table for Fact Book'!$A$3,"State","FL","type",10,"Type2","Two-Year")</f>
        <v>42338</v>
      </c>
      <c r="Y8" s="190">
        <f>GETPIVOTDATA("Sum of NEW-Tot UG SCH Calc",'Pivot Table for Fact Book'!$A$3,"State","FL","type",10,"Type2","Two-Year")</f>
        <v>41297</v>
      </c>
      <c r="Z8" s="192">
        <f>GETPIVOTDATA("Sum of OLD-Tot UG SCH Calc",'Pivot Table for Fact Book'!$A$3,"State","FL","Type2","Two-Year")</f>
        <v>9069681</v>
      </c>
      <c r="AA8" s="192">
        <f>GETPIVOTDATA("Sum of NEW-Tot UG SCH Calc",'Pivot Table for Fact Book'!$A$3,"State","FL","Type2","Two-Year")</f>
        <v>9073750</v>
      </c>
      <c r="AB8" s="189">
        <f>+GETPIVOTDATA("Sum of OLD-Tot UG SCH Calc",'Pivot Table for Fact Book'!$A$3,"State","FL","type",12,"type2","Techncial")</f>
        <v>0</v>
      </c>
      <c r="AC8" s="190">
        <f>+GETPIVOTDATA("Sum of NEW-Tot UG SCH Calc",'Pivot Table for Fact Book'!$A$3,"State","FL","type",12,"type2","Techncial")</f>
        <v>0</v>
      </c>
      <c r="AD8" s="189">
        <f>+GETPIVOTDATA("Sum of OLD-Tot UG SCH Calc",'Pivot Table for Fact Book'!$A$3,"State","FL","type",13,"type2","Techncial")</f>
        <v>0</v>
      </c>
      <c r="AE8" s="190">
        <f>+GETPIVOTDATA("Sum of NEW-Tot UG SCH Calc",'Pivot Table for Fact Book'!$A$3,"State","FL","type",13,"type2","Techncial")</f>
        <v>0</v>
      </c>
      <c r="AF8" s="193">
        <f>+GETPIVOTDATA("Sum of OLD-Tot UG SCH Calc",'Pivot Table for Fact Book'!$A$3,"State","FL","type2","Techncial")</f>
        <v>0</v>
      </c>
      <c r="AG8" s="194">
        <f>+GETPIVOTDATA("Sum of NEW-Tot UG SCH Calc",'Pivot Table for Fact Book'!$A$3,"State","FL","type2","Techncial")</f>
        <v>0</v>
      </c>
    </row>
    <row r="9" spans="1:33">
      <c r="A9" s="202" t="s">
        <v>670</v>
      </c>
      <c r="B9" s="189">
        <f>GETPIVOTDATA("Sum of OLD-Tot UG SCH Calc",'Pivot Table for Fact Book'!$A$3,"State","GA","type",1,"Type2","Four-Year")</f>
        <v>1962423</v>
      </c>
      <c r="C9" s="190">
        <f>GETPIVOTDATA("Sum of NEW-Tot UG SCH Calc",'Pivot Table for Fact Book'!$A$3,"State","GA","type",1,"Type2","Four-Year")</f>
        <v>2018446</v>
      </c>
      <c r="D9" s="189">
        <f>GETPIVOTDATA("Sum of OLD-Tot UG SCH Calc",'Pivot Table for Fact Book'!$A$3,"State","GA","type",2,"Type2","Four-Year")</f>
        <v>448495</v>
      </c>
      <c r="E9" s="190">
        <f>GETPIVOTDATA("Sum of NEW-Tot UG SCH Calc",'Pivot Table for Fact Book'!$A$3,"State","GA","type",2,"Type2","Four-Year")</f>
        <v>456127.53</v>
      </c>
      <c r="F9" s="189">
        <f>GETPIVOTDATA("Sum of OLD-Tot UG SCH Calc",'Pivot Table for Fact Book'!$A$3,"State","GA","type",3,"Type2","Four-Year")</f>
        <v>2059953</v>
      </c>
      <c r="G9" s="190">
        <f>GETPIVOTDATA("Sum of NEW-Tot UG SCH Calc",'Pivot Table for Fact Book'!$A$3,"State","GA","type",3,"Type2","Four-Year")</f>
        <v>2065777</v>
      </c>
      <c r="H9" s="189">
        <f>GETPIVOTDATA("Sum of OLD-Tot UG SCH Calc",'Pivot Table for Fact Book'!$A$3,"State","GA","type",4,"Type2","Four-Year")</f>
        <v>1401314.5</v>
      </c>
      <c r="I9" s="190">
        <f>GETPIVOTDATA("Sum of NEW-Tot UG SCH Calc",'Pivot Table for Fact Book'!$A$3,"State","GA","type",4,"Type2","Four-Year")</f>
        <v>1403878</v>
      </c>
      <c r="J9" s="189">
        <f>GETPIVOTDATA("Sum of OLD-Tot UG SCH Calc",'Pivot Table for Fact Book'!$A$3,"State","GA","type",5,"Type2","Four-Year")</f>
        <v>117463</v>
      </c>
      <c r="K9" s="190">
        <f>GETPIVOTDATA("Sum of NEW-Tot UG SCH Calc",'Pivot Table for Fact Book'!$A$3,"State","GA","type",5,"Type2","Four-Year")</f>
        <v>103628</v>
      </c>
      <c r="L9" s="189">
        <f>GETPIVOTDATA("Sum of OLD-Tot UG SCH Calc",'Pivot Table for Fact Book'!$A$3,"State","GA","type",6,"Type2","Four-Year")</f>
        <v>893995</v>
      </c>
      <c r="M9" s="190">
        <f>GETPIVOTDATA("Sum of NEW-Tot UG SCH Calc",'Pivot Table for Fact Book'!$A$3,"State","GA","type",6,"Type2","Four-Year")</f>
        <v>880697</v>
      </c>
      <c r="N9" s="189">
        <f>GETPIVOTDATA("Sum of OLD-Tot UG SCH Calc",'Pivot Table for Fact Book'!$A$3,"State","GA","type",15,"Type2","Four-Year")</f>
        <v>0</v>
      </c>
      <c r="O9" s="190">
        <f>GETPIVOTDATA("Sum of NEW-Tot UG SCH Calc",'Pivot Table for Fact Book'!$A$3,"State","GA","type",15,"Type2","Four-Year")</f>
        <v>0</v>
      </c>
      <c r="P9" s="191">
        <f>GETPIVOTDATA("Sum of OLD-Tot UG SCH Calc",'Pivot Table for Fact Book'!$A$3,"State","GA","Type2","Four-Year")</f>
        <v>6883643.5</v>
      </c>
      <c r="Q9" s="191">
        <f>GETPIVOTDATA("Sum of NEW-Tot UG SCH Calc",'Pivot Table for Fact Book'!$A$3,"State","GA","Type2","Four-Year")</f>
        <v>6928553.5300000003</v>
      </c>
      <c r="R9" s="189">
        <f>GETPIVOTDATA("Sum of OLD-Tot UG SCH Calc",'Pivot Table for Fact Book'!$A$3,"State","GA","type",7,"Type2","Two-Year")</f>
        <v>316685</v>
      </c>
      <c r="S9" s="190">
        <f>GETPIVOTDATA("Sum of NEW-Tot UG SCH Calc",'Pivot Table for Fact Book'!$A$3,"State","GA","type",7,"Type2","Two-Year")</f>
        <v>302780</v>
      </c>
      <c r="T9" s="190">
        <f>GETPIVOTDATA("Sum of OLD-Tot UG SCH Calc",'Pivot Table for Fact Book'!$A$3,"State","GA","type",8,"Type2","Two-Year")</f>
        <v>0</v>
      </c>
      <c r="U9" s="190">
        <f>GETPIVOTDATA("Sum of NEW-Tot UG SCH Calc",'Pivot Table for Fact Book'!$A$3,"State","GA","type",8,"Type2","Two-Year")</f>
        <v>0</v>
      </c>
      <c r="V9" s="190">
        <f>GETPIVOTDATA("Sum of OLD-Tot UG SCH Calc",'Pivot Table for Fact Book'!$A$3,"State","GA","type",9,"Type2","Two-Year")</f>
        <v>0</v>
      </c>
      <c r="W9" s="190">
        <f>GETPIVOTDATA("Sum of NEW-Tot UG SCH Calc",'Pivot Table for Fact Book'!$A$3,"State","GA","type",9,"Type2","Two-Year")</f>
        <v>0</v>
      </c>
      <c r="X9" s="190">
        <f>GETPIVOTDATA("Sum of OLD-Tot UG SCH Calc",'Pivot Table for Fact Book'!$A$3,"State","GA","type",10,"Type2","Two-Year")</f>
        <v>0</v>
      </c>
      <c r="Y9" s="190">
        <f>GETPIVOTDATA("Sum of NEW-Tot UG SCH Calc",'Pivot Table for Fact Book'!$A$3,"State","GA","type",10,"Type2","Two-Year")</f>
        <v>0</v>
      </c>
      <c r="Z9" s="192">
        <f>GETPIVOTDATA("Sum of OLD-Tot UG SCH Calc",'Pivot Table for Fact Book'!$A$3,"State","GA","Type2","Two-Year")</f>
        <v>316685</v>
      </c>
      <c r="AA9" s="192">
        <f>GETPIVOTDATA("Sum of NEW-Tot UG SCH Calc",'Pivot Table for Fact Book'!$A$3,"State","GA","Type2","Two-Year")</f>
        <v>302780</v>
      </c>
      <c r="AB9" s="189">
        <f>+GETPIVOTDATA("Sum of OLD-Tot UG SCH Calc",'Pivot Table for Fact Book'!$A$3,"State","GA","type",12,"type2","Techncial")</f>
        <v>1984110.4</v>
      </c>
      <c r="AC9" s="190">
        <f>+GETPIVOTDATA("Sum of NEW-Tot UG SCH Calc",'Pivot Table for Fact Book'!$A$3,"State","GA","type",12,"type2","Techncial")</f>
        <v>2038837.4</v>
      </c>
      <c r="AD9" s="189">
        <f>+GETPIVOTDATA("Sum of OLD-Tot UG SCH Calc",'Pivot Table for Fact Book'!$A$3,"State","GA","type",13,"type2","Techncial")</f>
        <v>0</v>
      </c>
      <c r="AE9" s="190">
        <f>+GETPIVOTDATA("Sum of NEW-Tot UG SCH Calc",'Pivot Table for Fact Book'!$A$3,"State","GA","type",13,"type2","Techncial")</f>
        <v>0</v>
      </c>
      <c r="AF9" s="193">
        <f>+GETPIVOTDATA("Sum of OLD-Tot UG SCH Calc",'Pivot Table for Fact Book'!$A$3,"State","GA","type2","Techncial")</f>
        <v>1984110.4</v>
      </c>
      <c r="AG9" s="194">
        <f>+GETPIVOTDATA("Sum of NEW-Tot UG SCH Calc",'Pivot Table for Fact Book'!$A$3,"State","GA","type2","Techncial")</f>
        <v>2038837.4</v>
      </c>
    </row>
    <row r="10" spans="1:33">
      <c r="A10" s="202" t="s">
        <v>671</v>
      </c>
      <c r="B10" s="189">
        <f>GETPIVOTDATA("Sum of OLD-Tot UG SCH Calc",'Pivot Table for Fact Book'!$A$3,"State","KY","type",1,"Type2","Four-Year")</f>
        <v>1057814</v>
      </c>
      <c r="C10" s="190">
        <f>GETPIVOTDATA("Sum of NEW-Tot UG SCH Calc",'Pivot Table for Fact Book'!$A$3,"State","KY","type",1,"Type2","Four-Year")</f>
        <v>1047414</v>
      </c>
      <c r="D10" s="189">
        <f>GETPIVOTDATA("Sum of OLD-Tot UG SCH Calc",'Pivot Table for Fact Book'!$A$3,"State","KY","type",2,"Type2","Four-Year")</f>
        <v>0</v>
      </c>
      <c r="E10" s="190">
        <f>GETPIVOTDATA("Sum of NEW-Tot UG SCH Calc",'Pivot Table for Fact Book'!$A$3,"State","KY","type",2,"Type2","Four-Year")</f>
        <v>0</v>
      </c>
      <c r="F10" s="189">
        <f>GETPIVOTDATA("Sum of OLD-Tot UG SCH Calc",'Pivot Table for Fact Book'!$A$3,"State","KY","type",3,"Type2","Four-Year")</f>
        <v>1550869</v>
      </c>
      <c r="G10" s="190">
        <f>GETPIVOTDATA("Sum of NEW-Tot UG SCH Calc",'Pivot Table for Fact Book'!$A$3,"State","KY","type",3,"Type2","Four-Year")</f>
        <v>1486308.5</v>
      </c>
      <c r="H10" s="189">
        <f>GETPIVOTDATA("Sum of OLD-Tot UG SCH Calc",'Pivot Table for Fact Book'!$A$3,"State","KY","type",4,"Type2","Four-Year")</f>
        <v>43504</v>
      </c>
      <c r="I10" s="190">
        <f>GETPIVOTDATA("Sum of NEW-Tot UG SCH Calc",'Pivot Table for Fact Book'!$A$3,"State","KY","type",4,"Type2","Four-Year")</f>
        <v>44950.5</v>
      </c>
      <c r="J10" s="189">
        <f>GETPIVOTDATA("Sum of OLD-Tot UG SCH Calc",'Pivot Table for Fact Book'!$A$3,"State","KY","type",5,"Type2","Four-Year")</f>
        <v>0</v>
      </c>
      <c r="K10" s="190">
        <f>GETPIVOTDATA("Sum of NEW-Tot UG SCH Calc",'Pivot Table for Fact Book'!$A$3,"State","KY","type",5,"Type2","Four-Year")</f>
        <v>0</v>
      </c>
      <c r="L10" s="189">
        <f>GETPIVOTDATA("Sum of OLD-Tot UG SCH Calc",'Pivot Table for Fact Book'!$A$3,"State","KY","type",6,"Type2","Four-Year")</f>
        <v>0</v>
      </c>
      <c r="M10" s="190">
        <f>GETPIVOTDATA("Sum of NEW-Tot UG SCH Calc",'Pivot Table for Fact Book'!$A$3,"State","KY","type",6,"Type2","Four-Year")</f>
        <v>0</v>
      </c>
      <c r="N10" s="189">
        <f>GETPIVOTDATA("Sum of OLD-Tot UG SCH Calc",'Pivot Table for Fact Book'!$A$3,"State","KY","type",15,"Type2","Four-Year")</f>
        <v>0</v>
      </c>
      <c r="O10" s="190">
        <f>GETPIVOTDATA("Sum of NEW-Tot UG SCH Calc",'Pivot Table for Fact Book'!$A$3,"State","KY","type",15,"Type2","Four-Year")</f>
        <v>0</v>
      </c>
      <c r="P10" s="191">
        <f>GETPIVOTDATA("Sum of OLD-Tot UG SCH Calc",'Pivot Table for Fact Book'!$A$3,"State","KY","Type2","Four-Year")</f>
        <v>2652187</v>
      </c>
      <c r="Q10" s="191">
        <f>GETPIVOTDATA("Sum of NEW-Tot UG SCH Calc",'Pivot Table for Fact Book'!$A$3,"State","KY","Type2","Four-Year")</f>
        <v>2578673</v>
      </c>
      <c r="R10" s="189">
        <f>GETPIVOTDATA("Sum of OLD-Tot UG SCH Calc",'Pivot Table for Fact Book'!$A$3,"State","KY","type",7,"Type2","Two-Year")</f>
        <v>0</v>
      </c>
      <c r="S10" s="190">
        <f>GETPIVOTDATA("Sum of NEW-Tot UG SCH Calc",'Pivot Table for Fact Book'!$A$3,"State","KY","type",7,"Type2","Two-Year")</f>
        <v>0</v>
      </c>
      <c r="T10" s="190">
        <f>GETPIVOTDATA("Sum of OLD-Tot UG SCH Calc",'Pivot Table for Fact Book'!$A$3,"State","KY","type",8,"Type2","Two-Year")</f>
        <v>380140</v>
      </c>
      <c r="U10" s="190">
        <f>GETPIVOTDATA("Sum of NEW-Tot UG SCH Calc",'Pivot Table for Fact Book'!$A$3,"State","KY","type",8,"Type2","Two-Year")</f>
        <v>387530.02</v>
      </c>
      <c r="V10" s="190">
        <f>GETPIVOTDATA("Sum of OLD-Tot UG SCH Calc",'Pivot Table for Fact Book'!$A$3,"State","KY","type",9,"Type2","Two-Year")</f>
        <v>515478</v>
      </c>
      <c r="W10" s="190">
        <f>GETPIVOTDATA("Sum of NEW-Tot UG SCH Calc",'Pivot Table for Fact Book'!$A$3,"State","KY","type",9,"Type2","Two-Year")</f>
        <v>400623.07</v>
      </c>
      <c r="X10" s="190">
        <f>GETPIVOTDATA("Sum of OLD-Tot UG SCH Calc",'Pivot Table for Fact Book'!$A$3,"State","KY","type",10,"Type2","Two-Year")</f>
        <v>289741</v>
      </c>
      <c r="Y10" s="190">
        <f>GETPIVOTDATA("Sum of NEW-Tot UG SCH Calc",'Pivot Table for Fact Book'!$A$3,"State","KY","type",10,"Type2","Two-Year")</f>
        <v>387129.47000000003</v>
      </c>
      <c r="Z10" s="192">
        <f>GETPIVOTDATA("Sum of OLD-Tot UG SCH Calc",'Pivot Table for Fact Book'!$A$3,"State","KY","Type2","Two-Year")</f>
        <v>1185359</v>
      </c>
      <c r="AA10" s="192">
        <f>GETPIVOTDATA("Sum of NEW-Tot UG SCH Calc",'Pivot Table for Fact Book'!$A$3,"State","KY","Type2","Two-Year")</f>
        <v>1175282.56</v>
      </c>
      <c r="AB10" s="189">
        <f>+GETPIVOTDATA("Sum of OLD-Tot UG SCH Calc",'Pivot Table for Fact Book'!$A$3,"State","KY","type",12,"type2","Techncial")</f>
        <v>149961</v>
      </c>
      <c r="AC10" s="190">
        <f>+GETPIVOTDATA("Sum of NEW-Tot UG SCH Calc",'Pivot Table for Fact Book'!$A$3,"State","KY","type",12,"type2","Techncial")</f>
        <v>154521.29999999999</v>
      </c>
      <c r="AD10" s="189">
        <f>+GETPIVOTDATA("Sum of OLD-Tot UG SCH Calc",'Pivot Table for Fact Book'!$A$3,"State","KY","type",13,"type2","Techncial")</f>
        <v>0</v>
      </c>
      <c r="AE10" s="190">
        <f>+GETPIVOTDATA("Sum of NEW-Tot UG SCH Calc",'Pivot Table for Fact Book'!$A$3,"State","KY","type",13,"type2","Techncial")</f>
        <v>0</v>
      </c>
      <c r="AF10" s="193">
        <f>+GETPIVOTDATA("Sum of OLD-Tot UG SCH Calc",'Pivot Table for Fact Book'!$A$3,"State","KY","type2","Techncial")</f>
        <v>149961</v>
      </c>
      <c r="AG10" s="194">
        <f>+GETPIVOTDATA("Sum of NEW-Tot UG SCH Calc",'Pivot Table for Fact Book'!$A$3,"State","KY","type2","Techncial")</f>
        <v>154521.29999999999</v>
      </c>
    </row>
    <row r="11" spans="1:33">
      <c r="A11" s="202" t="s">
        <v>672</v>
      </c>
      <c r="B11" s="189">
        <f>GETPIVOTDATA("Sum of OLD-Tot UG SCH Calc",'Pivot Table for Fact Book'!$A$3,"State","LA","type",1,"Type2","Four-Year")</f>
        <v>697351.99999999977</v>
      </c>
      <c r="C11" s="190">
        <f>GETPIVOTDATA("Sum of NEW-Tot UG SCH Calc",'Pivot Table for Fact Book'!$A$3,"State","LA","type",1,"Type2","Four-Year")</f>
        <v>701521.99999999988</v>
      </c>
      <c r="D11" s="189">
        <f>GETPIVOTDATA("Sum of OLD-Tot UG SCH Calc",'Pivot Table for Fact Book'!$A$3,"State","LA","type",2,"Type2","Four-Year")</f>
        <v>840339.00000000012</v>
      </c>
      <c r="E11" s="190">
        <f>GETPIVOTDATA("Sum of NEW-Tot UG SCH Calc",'Pivot Table for Fact Book'!$A$3,"State","LA","type",2,"Type2","Four-Year")</f>
        <v>818877.99999999953</v>
      </c>
      <c r="F11" s="189">
        <f>GETPIVOTDATA("Sum of OLD-Tot UG SCH Calc",'Pivot Table for Fact Book'!$A$3,"State","LA","type",3,"Type2","Four-Year")</f>
        <v>856987.99999999907</v>
      </c>
      <c r="G11" s="190">
        <f>GETPIVOTDATA("Sum of NEW-Tot UG SCH Calc",'Pivot Table for Fact Book'!$A$3,"State","LA","type",3,"Type2","Four-Year")</f>
        <v>848338.00000000023</v>
      </c>
      <c r="H11" s="189">
        <f>GETPIVOTDATA("Sum of OLD-Tot UG SCH Calc",'Pivot Table for Fact Book'!$A$3,"State","LA","type",4,"Type2","Four-Year")</f>
        <v>574917.99999999953</v>
      </c>
      <c r="I11" s="190">
        <f>GETPIVOTDATA("Sum of NEW-Tot UG SCH Calc",'Pivot Table for Fact Book'!$A$3,"State","LA","type",4,"Type2","Four-Year")</f>
        <v>579768.00000000047</v>
      </c>
      <c r="J11" s="189">
        <f>GETPIVOTDATA("Sum of OLD-Tot UG SCH Calc",'Pivot Table for Fact Book'!$A$3,"State","LA","type",5,"Type2","Four-Year")</f>
        <v>48565.000000000015</v>
      </c>
      <c r="K11" s="190">
        <f>GETPIVOTDATA("Sum of NEW-Tot UG SCH Calc",'Pivot Table for Fact Book'!$A$3,"State","LA","type",5,"Type2","Four-Year")</f>
        <v>46277</v>
      </c>
      <c r="L11" s="189">
        <f>GETPIVOTDATA("Sum of OLD-Tot UG SCH Calc",'Pivot Table for Fact Book'!$A$3,"State","LA","type",6,"Type2","Four-Year")</f>
        <v>74440</v>
      </c>
      <c r="M11" s="190">
        <f>GETPIVOTDATA("Sum of NEW-Tot UG SCH Calc",'Pivot Table for Fact Book'!$A$3,"State","LA","type",6,"Type2","Four-Year")</f>
        <v>75010</v>
      </c>
      <c r="N11" s="189">
        <f>GETPIVOTDATA("Sum of OLD-Tot UG SCH Calc",'Pivot Table for Fact Book'!$A$3,"State","LA","type",15,"Type2","Four-Year")</f>
        <v>0</v>
      </c>
      <c r="O11" s="190">
        <f>GETPIVOTDATA("Sum of NEW-Tot UG SCH Calc",'Pivot Table for Fact Book'!$A$3,"State","LA","type",15,"Type2","Four-Year")</f>
        <v>0</v>
      </c>
      <c r="P11" s="191">
        <f>GETPIVOTDATA("Sum of OLD-Tot UG SCH Calc",'Pivot Table for Fact Book'!$A$3,"State","LA","Type2","Four-Year")</f>
        <v>3092601.9999999986</v>
      </c>
      <c r="Q11" s="191">
        <f>GETPIVOTDATA("Sum of NEW-Tot UG SCH Calc",'Pivot Table for Fact Book'!$A$3,"State","LA","Type2","Four-Year")</f>
        <v>3069793.0000000005</v>
      </c>
      <c r="R11" s="189">
        <f>GETPIVOTDATA("Sum of OLD-Tot UG SCH Calc",'Pivot Table for Fact Book'!$A$3,"State","LA","type",7,"Type2","Two-Year")</f>
        <v>0</v>
      </c>
      <c r="S11" s="190">
        <f>GETPIVOTDATA("Sum of NEW-Tot UG SCH Calc",'Pivot Table for Fact Book'!$A$3,"State","LA","type",7,"Type2","Two-Year")</f>
        <v>0</v>
      </c>
      <c r="T11" s="190">
        <f>GETPIVOTDATA("Sum of OLD-Tot UG SCH Calc",'Pivot Table for Fact Book'!$A$3,"State","LA","type",8,"Type2","Two-Year")</f>
        <v>443524.99999999977</v>
      </c>
      <c r="U11" s="190">
        <f>GETPIVOTDATA("Sum of NEW-Tot UG SCH Calc",'Pivot Table for Fact Book'!$A$3,"State","LA","type",8,"Type2","Two-Year")</f>
        <v>440309.99999999988</v>
      </c>
      <c r="V11" s="190">
        <f>GETPIVOTDATA("Sum of OLD-Tot UG SCH Calc",'Pivot Table for Fact Book'!$A$3,"State","LA","type",9,"Type2","Two-Year")</f>
        <v>419954.00000000041</v>
      </c>
      <c r="W11" s="190">
        <f>GETPIVOTDATA("Sum of NEW-Tot UG SCH Calc",'Pivot Table for Fact Book'!$A$3,"State","LA","type",9,"Type2","Two-Year")</f>
        <v>435047.5</v>
      </c>
      <c r="X11" s="190">
        <f>GETPIVOTDATA("Sum of OLD-Tot UG SCH Calc",'Pivot Table for Fact Book'!$A$3,"State","LA","type",10,"Type2","Two-Year")</f>
        <v>174002.00000000003</v>
      </c>
      <c r="Y11" s="190">
        <f>GETPIVOTDATA("Sum of NEW-Tot UG SCH Calc",'Pivot Table for Fact Book'!$A$3,"State","LA","type",10,"Type2","Two-Year")</f>
        <v>167241</v>
      </c>
      <c r="Z11" s="192">
        <f>GETPIVOTDATA("Sum of OLD-Tot UG SCH Calc",'Pivot Table for Fact Book'!$A$3,"State","LA","Type2","Two-Year")</f>
        <v>1037481.0000000002</v>
      </c>
      <c r="AA11" s="192">
        <f>GETPIVOTDATA("Sum of NEW-Tot UG SCH Calc",'Pivot Table for Fact Book'!$A$3,"State","LA","Type2","Two-Year")</f>
        <v>1042598.4999999999</v>
      </c>
      <c r="AB11" s="189">
        <f>+GETPIVOTDATA("Sum of OLD-Tot UG SCH Calc",'Pivot Table for Fact Book'!$A$3,"State","LA","type",12,"type2","Techncial")</f>
        <v>227162.99999999997</v>
      </c>
      <c r="AC11" s="190">
        <f>+GETPIVOTDATA("Sum of NEW-Tot UG SCH Calc",'Pivot Table for Fact Book'!$A$3,"State","LA","type",12,"type2","Techncial")</f>
        <v>236716.50000000006</v>
      </c>
      <c r="AD11" s="189">
        <f>+GETPIVOTDATA("Sum of OLD-Tot UG SCH Calc",'Pivot Table for Fact Book'!$A$3,"State","LA","type",13,"type2","Techncial")</f>
        <v>23316.999999999996</v>
      </c>
      <c r="AE11" s="190">
        <f>+GETPIVOTDATA("Sum of NEW-Tot UG SCH Calc",'Pivot Table for Fact Book'!$A$3,"State","LA","type",13,"type2","Techncial")</f>
        <v>24617.999999999996</v>
      </c>
      <c r="AF11" s="193">
        <f>+GETPIVOTDATA("Sum of OLD-Tot UG SCH Calc",'Pivot Table for Fact Book'!$A$3,"State","LA","type2","Techncial")</f>
        <v>250479.99999999997</v>
      </c>
      <c r="AG11" s="194">
        <f>+GETPIVOTDATA("Sum of NEW-Tot UG SCH Calc",'Pivot Table for Fact Book'!$A$3,"State","LA","type2","Techncial")</f>
        <v>261334.50000000006</v>
      </c>
    </row>
    <row r="12" spans="1:33">
      <c r="A12" s="202" t="s">
        <v>673</v>
      </c>
      <c r="B12" s="189">
        <f>GETPIVOTDATA("Sum of OLD-Tot UG SCH Calc",'Pivot Table for Fact Book'!$A$3,"State","MD","type",1,"Type2","Four-Year")</f>
        <v>864022</v>
      </c>
      <c r="C12" s="190">
        <f>GETPIVOTDATA("Sum of NEW-Tot UG SCH Calc",'Pivot Table for Fact Book'!$A$3,"State","MD","type",1,"Type2","Four-Year")</f>
        <v>871990</v>
      </c>
      <c r="D12" s="189">
        <f>GETPIVOTDATA("Sum of OLD-Tot UG SCH Calc",'Pivot Table for Fact Book'!$A$3,"State","MD","type",2,"Type2","Four-Year")</f>
        <v>512704</v>
      </c>
      <c r="E12" s="190">
        <f>GETPIVOTDATA("Sum of NEW-Tot UG SCH Calc",'Pivot Table for Fact Book'!$A$3,"State","MD","type",2,"Type2","Four-Year")</f>
        <v>498799.5</v>
      </c>
      <c r="F12" s="189">
        <f>GETPIVOTDATA("Sum of OLD-Tot UG SCH Calc",'Pivot Table for Fact Book'!$A$3,"State","MD","type",3,"Type2","Four-Year")</f>
        <v>609563.5</v>
      </c>
      <c r="G12" s="190">
        <f>GETPIVOTDATA("Sum of NEW-Tot UG SCH Calc",'Pivot Table for Fact Book'!$A$3,"State","MD","type",3,"Type2","Four-Year")</f>
        <v>598556.5</v>
      </c>
      <c r="H12" s="189">
        <f>GETPIVOTDATA("Sum of OLD-Tot UG SCH Calc",'Pivot Table for Fact Book'!$A$3,"State","MD","type",4,"Type2","Four-Year")</f>
        <v>579529</v>
      </c>
      <c r="I12" s="190">
        <f>GETPIVOTDATA("Sum of NEW-Tot UG SCH Calc",'Pivot Table for Fact Book'!$A$3,"State","MD","type",4,"Type2","Four-Year")</f>
        <v>559879</v>
      </c>
      <c r="J12" s="189">
        <f>GETPIVOTDATA("Sum of OLD-Tot UG SCH Calc",'Pivot Table for Fact Book'!$A$3,"State","MD","type",5,"Type2","Four-Year")</f>
        <v>61715</v>
      </c>
      <c r="K12" s="190">
        <f>GETPIVOTDATA("Sum of NEW-Tot UG SCH Calc",'Pivot Table for Fact Book'!$A$3,"State","MD","type",5,"Type2","Four-Year")</f>
        <v>60266</v>
      </c>
      <c r="L12" s="189">
        <f>GETPIVOTDATA("Sum of OLD-Tot UG SCH Calc",'Pivot Table for Fact Book'!$A$3,"State","MD","type",6,"Type2","Four-Year")</f>
        <v>48085.5</v>
      </c>
      <c r="M12" s="190">
        <f>GETPIVOTDATA("Sum of NEW-Tot UG SCH Calc",'Pivot Table for Fact Book'!$A$3,"State","MD","type",6,"Type2","Four-Year")</f>
        <v>46862</v>
      </c>
      <c r="N12" s="189">
        <f>GETPIVOTDATA("Sum of OLD-Tot UG SCH Calc",'Pivot Table for Fact Book'!$A$3,"State","MD","type",15,"Type2","Four-Year")</f>
        <v>845319</v>
      </c>
      <c r="O12" s="190">
        <f>GETPIVOTDATA("Sum of NEW-Tot UG SCH Calc",'Pivot Table for Fact Book'!$A$3,"State","MD","type",15,"Type2","Four-Year")</f>
        <v>835132.5</v>
      </c>
      <c r="P12" s="191">
        <f>GETPIVOTDATA("Sum of OLD-Tot UG SCH Calc",'Pivot Table for Fact Book'!$A$3,"State","MD","Type2","Four-Year")</f>
        <v>3520938</v>
      </c>
      <c r="Q12" s="191">
        <f>GETPIVOTDATA("Sum of NEW-Tot UG SCH Calc",'Pivot Table for Fact Book'!$A$3,"State","MD","Type2","Four-Year")</f>
        <v>3471485.5</v>
      </c>
      <c r="R12" s="189">
        <f>GETPIVOTDATA("Sum of OLD-Tot UG SCH Calc",'Pivot Table for Fact Book'!$A$3,"State","MD","type",7,"Type2","Two-Year")</f>
        <v>0</v>
      </c>
      <c r="S12" s="190">
        <f>GETPIVOTDATA("Sum of NEW-Tot UG SCH Calc",'Pivot Table for Fact Book'!$A$3,"State","MD","type",7,"Type2","Two-Year")</f>
        <v>0</v>
      </c>
      <c r="T12" s="190">
        <f>GETPIVOTDATA("Sum of OLD-Tot UG SCH Calc",'Pivot Table for Fact Book'!$A$3,"State","MD","type",8,"Type2","Two-Year")</f>
        <v>1804220</v>
      </c>
      <c r="U12" s="190">
        <f>GETPIVOTDATA("Sum of NEW-Tot UG SCH Calc",'Pivot Table for Fact Book'!$A$3,"State","MD","type",8,"Type2","Two-Year")</f>
        <v>1776033.41</v>
      </c>
      <c r="V12" s="190">
        <f>GETPIVOTDATA("Sum of OLD-Tot UG SCH Calc",'Pivot Table for Fact Book'!$A$3,"State","MD","type",9,"Type2","Two-Year")</f>
        <v>568526.9</v>
      </c>
      <c r="W12" s="190">
        <f>GETPIVOTDATA("Sum of NEW-Tot UG SCH Calc",'Pivot Table for Fact Book'!$A$3,"State","MD","type",9,"Type2","Two-Year")</f>
        <v>546973.5</v>
      </c>
      <c r="X12" s="190">
        <f>GETPIVOTDATA("Sum of OLD-Tot UG SCH Calc",'Pivot Table for Fact Book'!$A$3,"State","MD","type",10,"Type2","Two-Year")</f>
        <v>193597</v>
      </c>
      <c r="Y12" s="190">
        <f>GETPIVOTDATA("Sum of NEW-Tot UG SCH Calc",'Pivot Table for Fact Book'!$A$3,"State","MD","type",10,"Type2","Two-Year")</f>
        <v>187410.5</v>
      </c>
      <c r="Z12" s="192">
        <f>GETPIVOTDATA("Sum of OLD-Tot UG SCH Calc",'Pivot Table for Fact Book'!$A$3,"State","MD","Type2","Two-Year")</f>
        <v>2566343.9</v>
      </c>
      <c r="AA12" s="192">
        <f>GETPIVOTDATA("Sum of NEW-Tot UG SCH Calc",'Pivot Table for Fact Book'!$A$3,"State","MD","Type2","Two-Year")</f>
        <v>2510417.41</v>
      </c>
      <c r="AB12" s="189">
        <f>+GETPIVOTDATA("Sum of OLD-Tot UG SCH Calc",'Pivot Table for Fact Book'!$A$3,"State","MD","type",12,"type2","Techncial")</f>
        <v>0</v>
      </c>
      <c r="AC12" s="190">
        <f>+GETPIVOTDATA("Sum of NEW-Tot UG SCH Calc",'Pivot Table for Fact Book'!$A$3,"State","MD","type",12,"type2","Techncial")</f>
        <v>0</v>
      </c>
      <c r="AD12" s="189">
        <f>+GETPIVOTDATA("Sum of OLD-Tot UG SCH Calc",'Pivot Table for Fact Book'!$A$3,"State","MD","type",13,"type2","Techncial")</f>
        <v>0</v>
      </c>
      <c r="AE12" s="190">
        <f>+GETPIVOTDATA("Sum of NEW-Tot UG SCH Calc",'Pivot Table for Fact Book'!$A$3,"State","MD","type",13,"type2","Techncial")</f>
        <v>0</v>
      </c>
      <c r="AF12" s="193">
        <f>+GETPIVOTDATA("Sum of OLD-Tot UG SCH Calc",'Pivot Table for Fact Book'!$A$3,"State","MD","type2","Techncial")</f>
        <v>0</v>
      </c>
      <c r="AG12" s="194">
        <f>+GETPIVOTDATA("Sum of NEW-Tot UG SCH Calc",'Pivot Table for Fact Book'!$A$3,"State","MD","type2","Techncial")</f>
        <v>0</v>
      </c>
    </row>
    <row r="13" spans="1:33">
      <c r="A13" s="202" t="s">
        <v>674</v>
      </c>
      <c r="B13" s="189">
        <f>GETPIVOTDATA("Sum of OLD-Tot UG SCH Calc",'Pivot Table for Fact Book'!$A$3,"State","MS","type",1,"Type2","Four-Year")</f>
        <v>1409427</v>
      </c>
      <c r="C13" s="190">
        <f>GETPIVOTDATA("Sum of NEW-Tot UG SCH Calc",'Pivot Table for Fact Book'!$A$3,"State","MS","type",1,"Type2","Four-Year")</f>
        <v>1402900</v>
      </c>
      <c r="D13" s="189">
        <f>GETPIVOTDATA("Sum of OLD-Tot UG SCH Calc",'Pivot Table for Fact Book'!$A$3,"State","MS","type",2,"Type2","Four-Year")</f>
        <v>151243</v>
      </c>
      <c r="E13" s="190">
        <f>GETPIVOTDATA("Sum of NEW-Tot UG SCH Calc",'Pivot Table for Fact Book'!$A$3,"State","MS","type",2,"Type2","Four-Year")</f>
        <v>142216</v>
      </c>
      <c r="F13" s="189">
        <f>GETPIVOTDATA("Sum of OLD-Tot UG SCH Calc",'Pivot Table for Fact Book'!$A$3,"State","MS","type",3,"Type2","Four-Year")</f>
        <v>0</v>
      </c>
      <c r="G13" s="190">
        <f>GETPIVOTDATA("Sum of NEW-Tot UG SCH Calc",'Pivot Table for Fact Book'!$A$3,"State","MS","type",3,"Type2","Four-Year")</f>
        <v>0</v>
      </c>
      <c r="H13" s="189">
        <f>GETPIVOTDATA("Sum of OLD-Tot UG SCH Calc",'Pivot Table for Fact Book'!$A$3,"State","MS","type",4,"Type2","Four-Year")</f>
        <v>289144</v>
      </c>
      <c r="I13" s="190">
        <f>GETPIVOTDATA("Sum of NEW-Tot UG SCH Calc",'Pivot Table for Fact Book'!$A$3,"State","MS","type",4,"Type2","Four-Year")</f>
        <v>284857.7</v>
      </c>
      <c r="J13" s="189">
        <f>GETPIVOTDATA("Sum of OLD-Tot UG SCH Calc",'Pivot Table for Fact Book'!$A$3,"State","MS","type",5,"Type2","Four-Year")</f>
        <v>0</v>
      </c>
      <c r="K13" s="190">
        <f>GETPIVOTDATA("Sum of NEW-Tot UG SCH Calc",'Pivot Table for Fact Book'!$A$3,"State","MS","type",5,"Type2","Four-Year")</f>
        <v>0</v>
      </c>
      <c r="L13" s="189">
        <f>GETPIVOTDATA("Sum of OLD-Tot UG SCH Calc",'Pivot Table for Fact Book'!$A$3,"State","MS","type",6,"Type2","Four-Year")</f>
        <v>0</v>
      </c>
      <c r="M13" s="190">
        <f>GETPIVOTDATA("Sum of NEW-Tot UG SCH Calc",'Pivot Table for Fact Book'!$A$3,"State","MS","type",6,"Type2","Four-Year")</f>
        <v>0</v>
      </c>
      <c r="N13" s="189">
        <f>GETPIVOTDATA("Sum of OLD-Tot UG SCH Calc",'Pivot Table for Fact Book'!$A$3,"State","MS","type",15,"Type2","Four-Year")</f>
        <v>0</v>
      </c>
      <c r="O13" s="190">
        <f>GETPIVOTDATA("Sum of NEW-Tot UG SCH Calc",'Pivot Table for Fact Book'!$A$3,"State","MS","type",15,"Type2","Four-Year")</f>
        <v>0</v>
      </c>
      <c r="P13" s="191">
        <f>GETPIVOTDATA("Sum of OLD-Tot UG SCH Calc",'Pivot Table for Fact Book'!$A$3,"State","MS","Type2","Four-Year")</f>
        <v>1849814</v>
      </c>
      <c r="Q13" s="191">
        <f>GETPIVOTDATA("Sum of NEW-Tot UG SCH Calc",'Pivot Table for Fact Book'!$A$3,"State","MS","Type2","Four-Year")</f>
        <v>1829973.7</v>
      </c>
      <c r="R13" s="189">
        <f>GETPIVOTDATA("Sum of OLD-Tot UG SCH Calc",'Pivot Table for Fact Book'!$A$3,"State","MS","type",7,"Type2","Two-Year")</f>
        <v>0</v>
      </c>
      <c r="S13" s="190">
        <f>GETPIVOTDATA("Sum of NEW-Tot UG SCH Calc",'Pivot Table for Fact Book'!$A$3,"State","MS","type",7,"Type2","Two-Year")</f>
        <v>0</v>
      </c>
      <c r="T13" s="190">
        <f>GETPIVOTDATA("Sum of OLD-Tot UG SCH Calc",'Pivot Table for Fact Book'!$A$3,"State","MS","type",8,"Type2","Two-Year")</f>
        <v>870317</v>
      </c>
      <c r="U13" s="190">
        <f>GETPIVOTDATA("Sum of NEW-Tot UG SCH Calc",'Pivot Table for Fact Book'!$A$3,"State","MS","type",8,"Type2","Two-Year")</f>
        <v>359013</v>
      </c>
      <c r="V13" s="190">
        <f>GETPIVOTDATA("Sum of OLD-Tot UG SCH Calc",'Pivot Table for Fact Book'!$A$3,"State","MS","type",9,"Type2","Two-Year")</f>
        <v>891892</v>
      </c>
      <c r="W13" s="190">
        <f>GETPIVOTDATA("Sum of NEW-Tot UG SCH Calc",'Pivot Table for Fact Book'!$A$3,"State","MS","type",9,"Type2","Two-Year")</f>
        <v>338699</v>
      </c>
      <c r="X13" s="190">
        <f>GETPIVOTDATA("Sum of OLD-Tot UG SCH Calc",'Pivot Table for Fact Book'!$A$3,"State","MS","type",10,"Type2","Two-Year")</f>
        <v>105434</v>
      </c>
      <c r="Y13" s="190">
        <f>GETPIVOTDATA("Sum of NEW-Tot UG SCH Calc",'Pivot Table for Fact Book'!$A$3,"State","MS","type",10,"Type2","Two-Year")</f>
        <v>43707</v>
      </c>
      <c r="Z13" s="192">
        <f>GETPIVOTDATA("Sum of OLD-Tot UG SCH Calc",'Pivot Table for Fact Book'!$A$3,"State","MS","Type2","Two-Year")</f>
        <v>1867643</v>
      </c>
      <c r="AA13" s="192">
        <f>GETPIVOTDATA("Sum of NEW-Tot UG SCH Calc",'Pivot Table for Fact Book'!$A$3,"State","MS","Type2","Two-Year")</f>
        <v>741419</v>
      </c>
      <c r="AB13" s="189">
        <f>+GETPIVOTDATA("Sum of OLD-Tot UG SCH Calc",'Pivot Table for Fact Book'!$A$3,"State","MS","type",12,"type2","Techncial")</f>
        <v>0</v>
      </c>
      <c r="AC13" s="190">
        <f>+GETPIVOTDATA("Sum of NEW-Tot UG SCH Calc",'Pivot Table for Fact Book'!$A$3,"State","MS","type",12,"type2","Techncial")</f>
        <v>0</v>
      </c>
      <c r="AD13" s="189">
        <f>+GETPIVOTDATA("Sum of OLD-Tot UG SCH Calc",'Pivot Table for Fact Book'!$A$3,"State","MS","type",13,"type2","Techncial")</f>
        <v>0</v>
      </c>
      <c r="AE13" s="190">
        <f>+GETPIVOTDATA("Sum of NEW-Tot UG SCH Calc",'Pivot Table for Fact Book'!$A$3,"State","MS","type",13,"type2","Techncial")</f>
        <v>0</v>
      </c>
      <c r="AF13" s="193">
        <f>+GETPIVOTDATA("Sum of OLD-Tot UG SCH Calc",'Pivot Table for Fact Book'!$A$3,"State","MS","type2","Techncial")</f>
        <v>0</v>
      </c>
      <c r="AG13" s="194">
        <f>+GETPIVOTDATA("Sum of NEW-Tot UG SCH Calc",'Pivot Table for Fact Book'!$A$3,"State","MS","type2","Techncial")</f>
        <v>0</v>
      </c>
    </row>
    <row r="14" spans="1:33">
      <c r="A14" s="202" t="s">
        <v>675</v>
      </c>
      <c r="B14" s="189">
        <f>GETPIVOTDATA("Sum of OLD-Tot UG SCH Calc",'Pivot Table for Fact Book'!$A$3,"State","NC","type",1,"Type2","Four-Year")</f>
        <v>2397818</v>
      </c>
      <c r="C14" s="190">
        <f>GETPIVOTDATA("Sum of NEW-Tot UG SCH Calc",'Pivot Table for Fact Book'!$A$3,"State","NC","type",1,"Type2","Four-Year")</f>
        <v>2418197</v>
      </c>
      <c r="D14" s="189">
        <f>GETPIVOTDATA("Sum of OLD-Tot UG SCH Calc",'Pivot Table for Fact Book'!$A$3,"State","NC","type",2,"Type2","Four-Year")</f>
        <v>654760</v>
      </c>
      <c r="E14" s="190">
        <f>GETPIVOTDATA("Sum of NEW-Tot UG SCH Calc",'Pivot Table for Fact Book'!$A$3,"State","NC","type",2,"Type2","Four-Year")</f>
        <v>641242</v>
      </c>
      <c r="F14" s="189">
        <f>GETPIVOTDATA("Sum of OLD-Tot UG SCH Calc",'Pivot Table for Fact Book'!$A$3,"State","NC","type",3,"Type2","Four-Year")</f>
        <v>1689243</v>
      </c>
      <c r="G14" s="190">
        <f>GETPIVOTDATA("Sum of NEW-Tot UG SCH Calc",'Pivot Table for Fact Book'!$A$3,"State","NC","type",3,"Type2","Four-Year")</f>
        <v>1715562.5</v>
      </c>
      <c r="H14" s="189">
        <f>GETPIVOTDATA("Sum of OLD-Tot UG SCH Calc",'Pivot Table for Fact Book'!$A$3,"State","NC","type",4,"Type2","Four-Year")</f>
        <v>145496</v>
      </c>
      <c r="I14" s="190">
        <f>GETPIVOTDATA("Sum of NEW-Tot UG SCH Calc",'Pivot Table for Fact Book'!$A$3,"State","NC","type",4,"Type2","Four-Year")</f>
        <v>150115</v>
      </c>
      <c r="J14" s="189">
        <f>GETPIVOTDATA("Sum of OLD-Tot UG SCH Calc",'Pivot Table for Fact Book'!$A$3,"State","NC","type",5,"Type2","Four-Year")</f>
        <v>292488</v>
      </c>
      <c r="K14" s="190">
        <f>GETPIVOTDATA("Sum of NEW-Tot UG SCH Calc",'Pivot Table for Fact Book'!$A$3,"State","NC","type",5,"Type2","Four-Year")</f>
        <v>302850</v>
      </c>
      <c r="L14" s="189">
        <f>GETPIVOTDATA("Sum of OLD-Tot UG SCH Calc",'Pivot Table for Fact Book'!$A$3,"State","NC","type",6,"Type2","Four-Year")</f>
        <v>143321</v>
      </c>
      <c r="M14" s="190">
        <f>GETPIVOTDATA("Sum of NEW-Tot UG SCH Calc",'Pivot Table for Fact Book'!$A$3,"State","NC","type",6,"Type2","Four-Year")</f>
        <v>145335</v>
      </c>
      <c r="N14" s="189">
        <f>GETPIVOTDATA("Sum of OLD-Tot UG SCH Calc",'Pivot Table for Fact Book'!$A$3,"State","NC","type",15,"Type2","Four-Year")</f>
        <v>27802</v>
      </c>
      <c r="O14" s="190">
        <f>GETPIVOTDATA("Sum of NEW-Tot UG SCH Calc",'Pivot Table for Fact Book'!$A$3,"State","NC","type",15,"Type2","Four-Year")</f>
        <v>27437</v>
      </c>
      <c r="P14" s="191">
        <f>GETPIVOTDATA("Sum of OLD-Tot UG SCH Calc",'Pivot Table for Fact Book'!$A$3,"State","NC","Type2","Four-Year")</f>
        <v>5350928</v>
      </c>
      <c r="Q14" s="191">
        <f>GETPIVOTDATA("Sum of NEW-Tot UG SCH Calc",'Pivot Table for Fact Book'!$A$3,"State","NC","Type2","Four-Year")</f>
        <v>5400738.5</v>
      </c>
      <c r="R14" s="189">
        <f>GETPIVOTDATA("Sum of OLD-Tot UG SCH Calc",'Pivot Table for Fact Book'!$A$3,"State","NC","type",7,"Type2","Two-Year")</f>
        <v>0</v>
      </c>
      <c r="S14" s="190">
        <f>GETPIVOTDATA("Sum of NEW-Tot UG SCH Calc",'Pivot Table for Fact Book'!$A$3,"State","NC","type",7,"Type2","Two-Year")</f>
        <v>0</v>
      </c>
      <c r="T14" s="190">
        <f>GETPIVOTDATA("Sum of OLD-Tot UG SCH Calc",'Pivot Table for Fact Book'!$A$3,"State","NC","type",8,"Type2","Two-Year")</f>
        <v>2084741</v>
      </c>
      <c r="U14" s="190">
        <f>GETPIVOTDATA("Sum of NEW-Tot UG SCH Calc",'Pivot Table for Fact Book'!$A$3,"State","NC","type",8,"Type2","Two-Year")</f>
        <v>2101449.5</v>
      </c>
      <c r="V14" s="190">
        <f>GETPIVOTDATA("Sum of OLD-Tot UG SCH Calc",'Pivot Table for Fact Book'!$A$3,"State","NC","type",9,"Type2","Two-Year")</f>
        <v>1610761</v>
      </c>
      <c r="W14" s="190">
        <f>GETPIVOTDATA("Sum of NEW-Tot UG SCH Calc",'Pivot Table for Fact Book'!$A$3,"State","NC","type",9,"Type2","Two-Year")</f>
        <v>1632549</v>
      </c>
      <c r="X14" s="190">
        <f>GETPIVOTDATA("Sum of OLD-Tot UG SCH Calc",'Pivot Table for Fact Book'!$A$3,"State","NC","type",10,"Type2","Two-Year")</f>
        <v>763167.5</v>
      </c>
      <c r="Y14" s="190">
        <f>GETPIVOTDATA("Sum of NEW-Tot UG SCH Calc",'Pivot Table for Fact Book'!$A$3,"State","NC","type",10,"Type2","Two-Year")</f>
        <v>789023.5</v>
      </c>
      <c r="Z14" s="192">
        <f>GETPIVOTDATA("Sum of OLD-Tot UG SCH Calc",'Pivot Table for Fact Book'!$A$3,"State","NC","Type2","Two-Year")</f>
        <v>4458669.5</v>
      </c>
      <c r="AA14" s="192">
        <f>GETPIVOTDATA("Sum of NEW-Tot UG SCH Calc",'Pivot Table for Fact Book'!$A$3,"State","NC","Type2","Two-Year")</f>
        <v>4523022</v>
      </c>
      <c r="AB14" s="189">
        <f>+GETPIVOTDATA("Sum of OLD-Tot UG SCH Calc",'Pivot Table for Fact Book'!$A$3,"State","NC","type",12,"type2","Techncial")</f>
        <v>0</v>
      </c>
      <c r="AC14" s="190">
        <f>+GETPIVOTDATA("Sum of NEW-Tot UG SCH Calc",'Pivot Table for Fact Book'!$A$3,"State","NC","type",12,"type2","Techncial")</f>
        <v>0</v>
      </c>
      <c r="AD14" s="189">
        <f>+GETPIVOTDATA("Sum of OLD-Tot UG SCH Calc",'Pivot Table for Fact Book'!$A$3,"State","NC","type",13,"type2","Techncial")</f>
        <v>0</v>
      </c>
      <c r="AE14" s="190">
        <f>+GETPIVOTDATA("Sum of NEW-Tot UG SCH Calc",'Pivot Table for Fact Book'!$A$3,"State","NC","type",13,"type2","Techncial")</f>
        <v>0</v>
      </c>
      <c r="AF14" s="193">
        <f>+GETPIVOTDATA("Sum of OLD-Tot UG SCH Calc",'Pivot Table for Fact Book'!$A$3,"State","NC","type2","Techncial")</f>
        <v>0</v>
      </c>
      <c r="AG14" s="194">
        <f>+GETPIVOTDATA("Sum of NEW-Tot UG SCH Calc",'Pivot Table for Fact Book'!$A$3,"State","NC","type2","Techncial")</f>
        <v>0</v>
      </c>
    </row>
    <row r="15" spans="1:33">
      <c r="A15" s="202" t="s">
        <v>676</v>
      </c>
      <c r="B15" s="189">
        <f>GETPIVOTDATA("Sum of OLD-Tot UG SCH Calc",'Pivot Table for Fact Book'!$A$3,"State","OK","type",1,"Type2","Four-Year")</f>
        <v>1208074</v>
      </c>
      <c r="C15" s="190">
        <f>GETPIVOTDATA("Sum of NEW-Tot UG SCH Calc",'Pivot Table for Fact Book'!$A$3,"State","OK","type",1,"Type2","Four-Year")</f>
        <v>1210208</v>
      </c>
      <c r="D15" s="189">
        <f>GETPIVOTDATA("Sum of OLD-Tot UG SCH Calc",'Pivot Table for Fact Book'!$A$3,"State","OK","type",2,"Type2","Four-Year")</f>
        <v>0</v>
      </c>
      <c r="E15" s="190">
        <f>GETPIVOTDATA("Sum of NEW-Tot UG SCH Calc",'Pivot Table for Fact Book'!$A$3,"State","OK","type",2,"Type2","Four-Year")</f>
        <v>0</v>
      </c>
      <c r="F15" s="189">
        <f>GETPIVOTDATA("Sum of OLD-Tot UG SCH Calc",'Pivot Table for Fact Book'!$A$3,"State","OK","type",3,"Type2","Four-Year")</f>
        <v>514843</v>
      </c>
      <c r="G15" s="190">
        <f>GETPIVOTDATA("Sum of NEW-Tot UG SCH Calc",'Pivot Table for Fact Book'!$A$3,"State","OK","type",3,"Type2","Four-Year")</f>
        <v>503619</v>
      </c>
      <c r="H15" s="189">
        <f>GETPIVOTDATA("Sum of OLD-Tot UG SCH Calc",'Pivot Table for Fact Book'!$A$3,"State","OK","type",4,"Type2","Four-Year")</f>
        <v>203228</v>
      </c>
      <c r="I15" s="190">
        <f>GETPIVOTDATA("Sum of NEW-Tot UG SCH Calc",'Pivot Table for Fact Book'!$A$3,"State","OK","type",4,"Type2","Four-Year")</f>
        <v>197892</v>
      </c>
      <c r="J15" s="189">
        <f>GETPIVOTDATA("Sum of OLD-Tot UG SCH Calc",'Pivot Table for Fact Book'!$A$3,"State","OK","type",5,"Type2","Four-Year")</f>
        <v>283331</v>
      </c>
      <c r="K15" s="190">
        <f>GETPIVOTDATA("Sum of NEW-Tot UG SCH Calc",'Pivot Table for Fact Book'!$A$3,"State","OK","type",5,"Type2","Four-Year")</f>
        <v>276874</v>
      </c>
      <c r="L15" s="189">
        <f>GETPIVOTDATA("Sum of OLD-Tot UG SCH Calc",'Pivot Table for Fact Book'!$A$3,"State","OK","type",6,"Type2","Four-Year")</f>
        <v>138432</v>
      </c>
      <c r="M15" s="190">
        <f>GETPIVOTDATA("Sum of NEW-Tot UG SCH Calc",'Pivot Table for Fact Book'!$A$3,"State","OK","type",6,"Type2","Four-Year")</f>
        <v>137176</v>
      </c>
      <c r="N15" s="189">
        <f>GETPIVOTDATA("Sum of OLD-Tot UG SCH Calc",'Pivot Table for Fact Book'!$A$3,"State","OK","type",15,"Type2","Four-Year")</f>
        <v>0</v>
      </c>
      <c r="O15" s="190">
        <f>GETPIVOTDATA("Sum of NEW-Tot UG SCH Calc",'Pivot Table for Fact Book'!$A$3,"State","OK","type",15,"Type2","Four-Year")</f>
        <v>0</v>
      </c>
      <c r="P15" s="191">
        <f>GETPIVOTDATA("Sum of OLD-Tot UG SCH Calc",'Pivot Table for Fact Book'!$A$3,"State","OK","Type2","Four-Year")</f>
        <v>2347908</v>
      </c>
      <c r="Q15" s="191">
        <f>GETPIVOTDATA("Sum of NEW-Tot UG SCH Calc",'Pivot Table for Fact Book'!$A$3,"State","OK","Type2","Four-Year")</f>
        <v>2325769</v>
      </c>
      <c r="R15" s="189">
        <f>GETPIVOTDATA("Sum of OLD-Tot UG SCH Calc",'Pivot Table for Fact Book'!$A$3,"State","OK","type",7,"Type2","Two-Year")</f>
        <v>198623</v>
      </c>
      <c r="S15" s="190">
        <f>GETPIVOTDATA("Sum of NEW-Tot UG SCH Calc",'Pivot Table for Fact Book'!$A$3,"State","OK","type",7,"Type2","Two-Year")</f>
        <v>194610</v>
      </c>
      <c r="T15" s="190">
        <f>GETPIVOTDATA("Sum of OLD-Tot UG SCH Calc",'Pivot Table for Fact Book'!$A$3,"State","OK","type",8,"Type2","Two-Year")</f>
        <v>546646</v>
      </c>
      <c r="U15" s="190">
        <f>GETPIVOTDATA("Sum of NEW-Tot UG SCH Calc",'Pivot Table for Fact Book'!$A$3,"State","OK","type",8,"Type2","Two-Year")</f>
        <v>519457</v>
      </c>
      <c r="V15" s="190">
        <f>GETPIVOTDATA("Sum of OLD-Tot UG SCH Calc",'Pivot Table for Fact Book'!$A$3,"State","OK","type",9,"Type2","Two-Year")</f>
        <v>207268</v>
      </c>
      <c r="W15" s="190">
        <f>GETPIVOTDATA("Sum of NEW-Tot UG SCH Calc",'Pivot Table for Fact Book'!$A$3,"State","OK","type",9,"Type2","Two-Year")</f>
        <v>199119</v>
      </c>
      <c r="X15" s="190">
        <f>GETPIVOTDATA("Sum of OLD-Tot UG SCH Calc",'Pivot Table for Fact Book'!$A$3,"State","OK","type",10,"Type2","Two-Year")</f>
        <v>320783</v>
      </c>
      <c r="Y15" s="190">
        <f>GETPIVOTDATA("Sum of NEW-Tot UG SCH Calc",'Pivot Table for Fact Book'!$A$3,"State","OK","type",10,"Type2","Two-Year")</f>
        <v>295405</v>
      </c>
      <c r="Z15" s="192">
        <f>GETPIVOTDATA("Sum of OLD-Tot UG SCH Calc",'Pivot Table for Fact Book'!$A$3,"State","OK","Type2","Two-Year")</f>
        <v>1273320</v>
      </c>
      <c r="AA15" s="192">
        <f>GETPIVOTDATA("Sum of NEW-Tot UG SCH Calc",'Pivot Table for Fact Book'!$A$3,"State","OK","Type2","Two-Year")</f>
        <v>1208591</v>
      </c>
      <c r="AB15" s="189">
        <f>+GETPIVOTDATA("Sum of OLD-Tot UG SCH Calc",'Pivot Table for Fact Book'!$A$3,"State","OK","type",12,"type2","Techncial")</f>
        <v>0</v>
      </c>
      <c r="AC15" s="190">
        <f>+GETPIVOTDATA("Sum of NEW-Tot UG SCH Calc",'Pivot Table for Fact Book'!$A$3,"State","OK","type",12,"type2","Techncial")</f>
        <v>0</v>
      </c>
      <c r="AD15" s="189">
        <f>+GETPIVOTDATA("Sum of OLD-Tot UG SCH Calc",'Pivot Table for Fact Book'!$A$3,"State","OK","type",13,"type2","Techncial")</f>
        <v>0</v>
      </c>
      <c r="AE15" s="190">
        <f>+GETPIVOTDATA("Sum of NEW-Tot UG SCH Calc",'Pivot Table for Fact Book'!$A$3,"State","OK","type",13,"type2","Techncial")</f>
        <v>0</v>
      </c>
      <c r="AF15" s="193">
        <f>+GETPIVOTDATA("Sum of OLD-Tot UG SCH Calc",'Pivot Table for Fact Book'!$A$3,"State","OK","type2","Techncial")</f>
        <v>0</v>
      </c>
      <c r="AG15" s="194">
        <f>+GETPIVOTDATA("Sum of NEW-Tot UG SCH Calc",'Pivot Table for Fact Book'!$A$3,"State","OK","type2","Techncial")</f>
        <v>0</v>
      </c>
    </row>
    <row r="16" spans="1:33">
      <c r="A16" s="202" t="s">
        <v>677</v>
      </c>
      <c r="B16" s="189">
        <f>GETPIVOTDATA("Sum of OLD-Tot UG SCH Calc",'Pivot Table for Fact Book'!$A$3,"State","SC","type",1,"Type2","Four-Year")</f>
        <v>1412649</v>
      </c>
      <c r="C16" s="190">
        <f>GETPIVOTDATA("Sum of NEW-Tot UG SCH Calc",'Pivot Table for Fact Book'!$A$3,"State","SC","type",1,"Type2","Four-Year")</f>
        <v>1436699</v>
      </c>
      <c r="D16" s="189">
        <f>GETPIVOTDATA("Sum of OLD-Tot UG SCH Calc",'Pivot Table for Fact Book'!$A$3,"State","SC","type",2,"Type2","Four-Year")</f>
        <v>0</v>
      </c>
      <c r="E16" s="190">
        <f>GETPIVOTDATA("Sum of NEW-Tot UG SCH Calc",'Pivot Table for Fact Book'!$A$3,"State","SC","type",2,"Type2","Four-Year")</f>
        <v>0</v>
      </c>
      <c r="F16" s="189">
        <f>GETPIVOTDATA("Sum of OLD-Tot UG SCH Calc",'Pivot Table for Fact Book'!$A$3,"State","SC","type",3,"Type2","Four-Year")</f>
        <v>537923</v>
      </c>
      <c r="G16" s="190">
        <f>GETPIVOTDATA("Sum of NEW-Tot UG SCH Calc",'Pivot Table for Fact Book'!$A$3,"State","SC","type",3,"Type2","Four-Year")</f>
        <v>525835</v>
      </c>
      <c r="H16" s="189">
        <f>GETPIVOTDATA("Sum of OLD-Tot UG SCH Calc",'Pivot Table for Fact Book'!$A$3,"State","SC","type",4,"Type2","Four-Year")</f>
        <v>292069</v>
      </c>
      <c r="I16" s="190">
        <f>GETPIVOTDATA("Sum of NEW-Tot UG SCH Calc",'Pivot Table for Fact Book'!$A$3,"State","SC","type",4,"Type2","Four-Year")</f>
        <v>290884</v>
      </c>
      <c r="J16" s="189">
        <f>GETPIVOTDATA("Sum of OLD-Tot UG SCH Calc",'Pivot Table for Fact Book'!$A$3,"State","SC","type",5,"Type2","Four-Year")</f>
        <v>155895</v>
      </c>
      <c r="K16" s="190">
        <f>GETPIVOTDATA("Sum of NEW-Tot UG SCH Calc",'Pivot Table for Fact Book'!$A$3,"State","SC","type",5,"Type2","Four-Year")</f>
        <v>149151</v>
      </c>
      <c r="L16" s="189">
        <f>GETPIVOTDATA("Sum of OLD-Tot UG SCH Calc",'Pivot Table for Fact Book'!$A$3,"State","SC","type",6,"Type2","Four-Year")</f>
        <v>392184.5</v>
      </c>
      <c r="M16" s="190">
        <f>GETPIVOTDATA("Sum of NEW-Tot UG SCH Calc",'Pivot Table for Fact Book'!$A$3,"State","SC","type",6,"Type2","Four-Year")</f>
        <v>389769.5</v>
      </c>
      <c r="N16" s="189">
        <f>GETPIVOTDATA("Sum of OLD-Tot UG SCH Calc",'Pivot Table for Fact Book'!$A$3,"State","SC","type",15,"Type2","Four-Year")</f>
        <v>0</v>
      </c>
      <c r="O16" s="190">
        <f>GETPIVOTDATA("Sum of NEW-Tot UG SCH Calc",'Pivot Table for Fact Book'!$A$3,"State","SC","type",15,"Type2","Four-Year")</f>
        <v>0</v>
      </c>
      <c r="P16" s="191">
        <f>GETPIVOTDATA("Sum of OLD-Tot UG SCH Calc",'Pivot Table for Fact Book'!$A$3,"State","SC","Type2","Four-Year")</f>
        <v>2790720.5</v>
      </c>
      <c r="Q16" s="191">
        <f>GETPIVOTDATA("Sum of NEW-Tot UG SCH Calc",'Pivot Table for Fact Book'!$A$3,"State","SC","Type2","Four-Year")</f>
        <v>2792338.5</v>
      </c>
      <c r="R16" s="189">
        <f>GETPIVOTDATA("Sum of OLD-Tot UG SCH Calc",'Pivot Table for Fact Book'!$A$3,"State","SC","type",7,"Type2","Two-Year")</f>
        <v>0</v>
      </c>
      <c r="S16" s="190">
        <f>GETPIVOTDATA("Sum of NEW-Tot UG SCH Calc",'Pivot Table for Fact Book'!$A$3,"State","SC","type",7,"Type2","Two-Year")</f>
        <v>0</v>
      </c>
      <c r="T16" s="190">
        <f>GETPIVOTDATA("Sum of OLD-Tot UG SCH Calc",'Pivot Table for Fact Book'!$A$3,"State","SC","type",8,"Type2","Two-Year")</f>
        <v>859427</v>
      </c>
      <c r="U16" s="190">
        <f>GETPIVOTDATA("Sum of NEW-Tot UG SCH Calc",'Pivot Table for Fact Book'!$A$3,"State","SC","type",8,"Type2","Two-Year")</f>
        <v>837358</v>
      </c>
      <c r="V16" s="190">
        <f>GETPIVOTDATA("Sum of OLD-Tot UG SCH Calc",'Pivot Table for Fact Book'!$A$3,"State","SC","type",9,"Type2","Two-Year")</f>
        <v>591914</v>
      </c>
      <c r="W16" s="190">
        <f>GETPIVOTDATA("Sum of NEW-Tot UG SCH Calc",'Pivot Table for Fact Book'!$A$3,"State","SC","type",9,"Type2","Two-Year")</f>
        <v>597754</v>
      </c>
      <c r="X16" s="190">
        <f>GETPIVOTDATA("Sum of OLD-Tot UG SCH Calc",'Pivot Table for Fact Book'!$A$3,"State","SC","type",10,"Type2","Two-Year")</f>
        <v>293351</v>
      </c>
      <c r="Y16" s="190">
        <f>GETPIVOTDATA("Sum of NEW-Tot UG SCH Calc",'Pivot Table for Fact Book'!$A$3,"State","SC","type",10,"Type2","Two-Year")</f>
        <v>293687</v>
      </c>
      <c r="Z16" s="192">
        <f>GETPIVOTDATA("Sum of OLD-Tot UG SCH Calc",'Pivot Table for Fact Book'!$A$3,"State","SC","Type2","Two-Year")</f>
        <v>1744692</v>
      </c>
      <c r="AA16" s="192">
        <f>GETPIVOTDATA("Sum of NEW-Tot UG SCH Calc",'Pivot Table for Fact Book'!$A$3,"State","SC","Type2","Two-Year")</f>
        <v>1728799</v>
      </c>
      <c r="AB16" s="189">
        <f>+GETPIVOTDATA("Sum of OLD-Tot UG SCH Calc",'Pivot Table for Fact Book'!$A$3,"State","SC","type",12,"type2","Techncial")</f>
        <v>0</v>
      </c>
      <c r="AC16" s="190">
        <f>+GETPIVOTDATA("Sum of NEW-Tot UG SCH Calc",'Pivot Table for Fact Book'!$A$3,"State","SC","type",12,"type2","Techncial")</f>
        <v>0</v>
      </c>
      <c r="AD16" s="189">
        <f>+GETPIVOTDATA("Sum of OLD-Tot UG SCH Calc",'Pivot Table for Fact Book'!$A$3,"State","SC","type",13,"type2","Techncial")</f>
        <v>0</v>
      </c>
      <c r="AE16" s="190">
        <f>+GETPIVOTDATA("Sum of NEW-Tot UG SCH Calc",'Pivot Table for Fact Book'!$A$3,"State","SC","type",13,"type2","Techncial")</f>
        <v>0</v>
      </c>
      <c r="AF16" s="193">
        <f>+GETPIVOTDATA("Sum of OLD-Tot UG SCH Calc",'Pivot Table for Fact Book'!$A$3,"State","SC","type2","Techncial")</f>
        <v>0</v>
      </c>
      <c r="AG16" s="194">
        <f>+GETPIVOTDATA("Sum of NEW-Tot UG SCH Calc",'Pivot Table for Fact Book'!$A$3,"State","SC","type2","Techncial")</f>
        <v>0</v>
      </c>
    </row>
    <row r="17" spans="1:33">
      <c r="A17" s="202" t="s">
        <v>678</v>
      </c>
      <c r="B17" s="189">
        <f>GETPIVOTDATA("Sum of OLD-Tot UG SCH Calc",'Pivot Table for Fact Book'!$A$3,"State","TN","type",1,"Type2","Four-Year")</f>
        <v>1035036</v>
      </c>
      <c r="C17" s="190">
        <f>GETPIVOTDATA("Sum of NEW-Tot UG SCH Calc",'Pivot Table for Fact Book'!$A$3,"State","TN","type",1,"Type2","Four-Year")</f>
        <v>1049594</v>
      </c>
      <c r="D17" s="189">
        <f>GETPIVOTDATA("Sum of OLD-Tot UG SCH Calc",'Pivot Table for Fact Book'!$A$3,"State","TN","type",2,"Type2","Four-Year")</f>
        <v>971329</v>
      </c>
      <c r="E17" s="190">
        <f>GETPIVOTDATA("Sum of NEW-Tot UG SCH Calc",'Pivot Table for Fact Book'!$A$3,"State","TN","type",2,"Type2","Four-Year")</f>
        <v>954899</v>
      </c>
      <c r="F17" s="189">
        <f>GETPIVOTDATA("Sum of OLD-Tot UG SCH Calc",'Pivot Table for Fact Book'!$A$3,"State","TN","type",3,"Type2","Four-Year")</f>
        <v>779533</v>
      </c>
      <c r="G17" s="190">
        <f>GETPIVOTDATA("Sum of NEW-Tot UG SCH Calc",'Pivot Table for Fact Book'!$A$3,"State","TN","type",3,"Type2","Four-Year")</f>
        <v>773036</v>
      </c>
      <c r="H17" s="189">
        <f>GETPIVOTDATA("Sum of OLD-Tot UG SCH Calc",'Pivot Table for Fact Book'!$A$3,"State","TN","type",4,"Type2","Four-Year")</f>
        <v>0</v>
      </c>
      <c r="I17" s="190">
        <f>GETPIVOTDATA("Sum of NEW-Tot UG SCH Calc",'Pivot Table for Fact Book'!$A$3,"State","TN","type",4,"Type2","Four-Year")</f>
        <v>0</v>
      </c>
      <c r="J17" s="189">
        <f>GETPIVOTDATA("Sum of OLD-Tot UG SCH Calc",'Pivot Table for Fact Book'!$A$3,"State","TN","type",5,"Type2","Four-Year")</f>
        <v>164329</v>
      </c>
      <c r="K17" s="190">
        <f>GETPIVOTDATA("Sum of NEW-Tot UG SCH Calc",'Pivot Table for Fact Book'!$A$3,"State","TN","type",5,"Type2","Four-Year")</f>
        <v>161305</v>
      </c>
      <c r="L17" s="189">
        <f>GETPIVOTDATA("Sum of OLD-Tot UG SCH Calc",'Pivot Table for Fact Book'!$A$3,"State","TN","type",6,"Type2","Four-Year")</f>
        <v>0</v>
      </c>
      <c r="M17" s="190">
        <f>GETPIVOTDATA("Sum of NEW-Tot UG SCH Calc",'Pivot Table for Fact Book'!$A$3,"State","TN","type",6,"Type2","Four-Year")</f>
        <v>0</v>
      </c>
      <c r="N17" s="189">
        <f>GETPIVOTDATA("Sum of OLD-Tot UG SCH Calc",'Pivot Table for Fact Book'!$A$3,"State","TN","type",15,"Type2","Four-Year")</f>
        <v>0</v>
      </c>
      <c r="O17" s="190">
        <f>GETPIVOTDATA("Sum of NEW-Tot UG SCH Calc",'Pivot Table for Fact Book'!$A$3,"State","TN","type",15,"Type2","Four-Year")</f>
        <v>0</v>
      </c>
      <c r="P17" s="191">
        <f>GETPIVOTDATA("Sum of OLD-Tot UG SCH Calc",'Pivot Table for Fact Book'!$A$3,"State","TN","Type2","Four-Year")</f>
        <v>2950227</v>
      </c>
      <c r="Q17" s="191">
        <f>GETPIVOTDATA("Sum of NEW-Tot UG SCH Calc",'Pivot Table for Fact Book'!$A$3,"State","TN","Type2","Four-Year")</f>
        <v>2938834</v>
      </c>
      <c r="R17" s="189">
        <f>GETPIVOTDATA("Sum of OLD-Tot UG SCH Calc",'Pivot Table for Fact Book'!$A$3,"State","TN","type",7,"Type2","Two-Year")</f>
        <v>0</v>
      </c>
      <c r="S17" s="190">
        <f>GETPIVOTDATA("Sum of NEW-Tot UG SCH Calc",'Pivot Table for Fact Book'!$A$3,"State","TN","type",7,"Type2","Two-Year")</f>
        <v>0</v>
      </c>
      <c r="T17" s="190">
        <f>GETPIVOTDATA("Sum of OLD-Tot UG SCH Calc",'Pivot Table for Fact Book'!$A$3,"State","TN","type",8,"Type2","Two-Year")</f>
        <v>883513</v>
      </c>
      <c r="U17" s="190">
        <f>GETPIVOTDATA("Sum of NEW-Tot UG SCH Calc",'Pivot Table for Fact Book'!$A$3,"State","TN","type",8,"Type2","Two-Year")</f>
        <v>878008</v>
      </c>
      <c r="V17" s="190">
        <f>GETPIVOTDATA("Sum of OLD-Tot UG SCH Calc",'Pivot Table for Fact Book'!$A$3,"State","TN","type",9,"Type2","Two-Year")</f>
        <v>751064</v>
      </c>
      <c r="W17" s="190">
        <f>GETPIVOTDATA("Sum of NEW-Tot UG SCH Calc",'Pivot Table for Fact Book'!$A$3,"State","TN","type",9,"Type2","Two-Year")</f>
        <v>777970</v>
      </c>
      <c r="X17" s="190">
        <f>GETPIVOTDATA("Sum of OLD-Tot UG SCH Calc",'Pivot Table for Fact Book'!$A$3,"State","TN","type",10,"Type2","Two-Year")</f>
        <v>51313</v>
      </c>
      <c r="Y17" s="190">
        <f>GETPIVOTDATA("Sum of NEW-Tot UG SCH Calc",'Pivot Table for Fact Book'!$A$3,"State","TN","type",10,"Type2","Two-Year")</f>
        <v>52670</v>
      </c>
      <c r="Z17" s="192">
        <f>GETPIVOTDATA("Sum of OLD-Tot UG SCH Calc",'Pivot Table for Fact Book'!$A$3,"State","TN","Type2","Two-Year")</f>
        <v>1685890</v>
      </c>
      <c r="AA17" s="192">
        <f>GETPIVOTDATA("Sum of NEW-Tot UG SCH Calc",'Pivot Table for Fact Book'!$A$3,"State","TN","Type2","Two-Year")</f>
        <v>1708648</v>
      </c>
      <c r="AB17" s="189">
        <f>+GETPIVOTDATA("Sum of OLD-Tot UG SCH Calc",'Pivot Table for Fact Book'!$A$3,"State","TN","type",12,"type2","Techncial")</f>
        <v>0</v>
      </c>
      <c r="AC17" s="190">
        <f>+GETPIVOTDATA("Sum of NEW-Tot UG SCH Calc",'Pivot Table for Fact Book'!$A$3,"State","TN","type",12,"type2","Techncial")</f>
        <v>0</v>
      </c>
      <c r="AD17" s="189">
        <f>+GETPIVOTDATA("Sum of OLD-Tot UG SCH Calc",'Pivot Table for Fact Book'!$A$3,"State","TN","type",13,"type2","Techncial")</f>
        <v>0</v>
      </c>
      <c r="AE17" s="190">
        <f>+GETPIVOTDATA("Sum of NEW-Tot UG SCH Calc",'Pivot Table for Fact Book'!$A$3,"State","TN","type",13,"type2","Techncial")</f>
        <v>0</v>
      </c>
      <c r="AF17" s="193">
        <f>+GETPIVOTDATA("Sum of OLD-Tot UG SCH Calc",'Pivot Table for Fact Book'!$A$3,"State","TN","type2","Techncial")</f>
        <v>0</v>
      </c>
      <c r="AG17" s="194">
        <f>+GETPIVOTDATA("Sum of NEW-Tot UG SCH Calc",'Pivot Table for Fact Book'!$A$3,"State","TN","type2","Techncial")</f>
        <v>0</v>
      </c>
    </row>
    <row r="18" spans="1:33">
      <c r="A18" s="202" t="s">
        <v>679</v>
      </c>
      <c r="B18" s="189">
        <f>GETPIVOTDATA("Sum of OLD-Tot UG SCH Calc",'Pivot Table for Fact Book'!$A$3,"State","TX","type",1,"Type2","Four-Year")</f>
        <v>0</v>
      </c>
      <c r="C18" s="190">
        <f>GETPIVOTDATA("Sum of NEW-Tot UG SCH Calc",'Pivot Table for Fact Book'!$A$3,"State","TX","type",1,"Type2","Four-Year")</f>
        <v>0</v>
      </c>
      <c r="D18" s="189">
        <f>GETPIVOTDATA("Sum of OLD-Tot UG SCH Calc",'Pivot Table for Fact Book'!$A$3,"State","TX","type",2,"Type2","Four-Year")</f>
        <v>0</v>
      </c>
      <c r="E18" s="190">
        <f>GETPIVOTDATA("Sum of NEW-Tot UG SCH Calc",'Pivot Table for Fact Book'!$A$3,"State","TX","type",2,"Type2","Four-Year")</f>
        <v>0</v>
      </c>
      <c r="F18" s="189">
        <f>GETPIVOTDATA("Sum of OLD-Tot UG SCH Calc",'Pivot Table for Fact Book'!$A$3,"State","TX","type",3,"Type2","Four-Year")</f>
        <v>0</v>
      </c>
      <c r="G18" s="190">
        <f>GETPIVOTDATA("Sum of NEW-Tot UG SCH Calc",'Pivot Table for Fact Book'!$A$3,"State","TX","type",3,"Type2","Four-Year")</f>
        <v>0</v>
      </c>
      <c r="H18" s="189">
        <f>GETPIVOTDATA("Sum of OLD-Tot UG SCH Calc",'Pivot Table for Fact Book'!$A$3,"State","TX","type",4,"Type2","Four-Year")</f>
        <v>0</v>
      </c>
      <c r="I18" s="190">
        <f>GETPIVOTDATA("Sum of NEW-Tot UG SCH Calc",'Pivot Table for Fact Book'!$A$3,"State","TX","type",4,"Type2","Four-Year")</f>
        <v>0</v>
      </c>
      <c r="J18" s="189">
        <f>GETPIVOTDATA("Sum of OLD-Tot UG SCH Calc",'Pivot Table for Fact Book'!$A$3,"State","TX","type",5,"Type2","Four-Year")</f>
        <v>0</v>
      </c>
      <c r="K18" s="190">
        <f>GETPIVOTDATA("Sum of NEW-Tot UG SCH Calc",'Pivot Table for Fact Book'!$A$3,"State","TX","type",5,"Type2","Four-Year")</f>
        <v>0</v>
      </c>
      <c r="L18" s="189">
        <f>GETPIVOTDATA("Sum of OLD-Tot UG SCH Calc",'Pivot Table for Fact Book'!$A$3,"State","TX","type",6,"Type2","Four-Year")</f>
        <v>0</v>
      </c>
      <c r="M18" s="190">
        <f>GETPIVOTDATA("Sum of NEW-Tot UG SCH Calc",'Pivot Table for Fact Book'!$A$3,"State","TX","type",6,"Type2","Four-Year")</f>
        <v>0</v>
      </c>
      <c r="N18" s="189">
        <f>GETPIVOTDATA("Sum of OLD-Tot UG SCH Calc",'Pivot Table for Fact Book'!$A$3,"State","TX","type",15,"Type2","Four-Year")</f>
        <v>0</v>
      </c>
      <c r="O18" s="190">
        <f>GETPIVOTDATA("Sum of NEW-Tot UG SCH Calc",'Pivot Table for Fact Book'!$A$3,"State","TX","type",15,"Type2","Four-Year")</f>
        <v>0</v>
      </c>
      <c r="P18" s="191">
        <f>GETPIVOTDATA("Sum of OLD-Tot UG SCH Calc",'Pivot Table for Fact Book'!$A$3,"State","TX","Type2","Four-Year")</f>
        <v>0</v>
      </c>
      <c r="Q18" s="191">
        <f>GETPIVOTDATA("Sum of NEW-Tot UG SCH Calc",'Pivot Table for Fact Book'!$A$3,"State","TX","Type2","Four-Year")</f>
        <v>0</v>
      </c>
      <c r="R18" s="189">
        <f>GETPIVOTDATA("Sum of OLD-Tot UG SCH Calc",'Pivot Table for Fact Book'!$A$3,"State","TX","type",7,"Type2","Two-Year")</f>
        <v>0</v>
      </c>
      <c r="S18" s="190">
        <f>GETPIVOTDATA("Sum of NEW-Tot UG SCH Calc",'Pivot Table for Fact Book'!$A$3,"State","TX","type",7,"Type2","Two-Year")</f>
        <v>0</v>
      </c>
      <c r="T18" s="190">
        <f>GETPIVOTDATA("Sum of OLD-Tot UG SCH Calc",'Pivot Table for Fact Book'!$A$3,"State","TX","type",8,"Type2","Two-Year")</f>
        <v>0</v>
      </c>
      <c r="U18" s="190">
        <f>GETPIVOTDATA("Sum of NEW-Tot UG SCH Calc",'Pivot Table for Fact Book'!$A$3,"State","TX","type",8,"Type2","Two-Year")</f>
        <v>0</v>
      </c>
      <c r="V18" s="190">
        <f>GETPIVOTDATA("Sum of OLD-Tot UG SCH Calc",'Pivot Table for Fact Book'!$A$3,"State","TX","type",9,"Type2","Two-Year")</f>
        <v>0</v>
      </c>
      <c r="W18" s="190">
        <f>GETPIVOTDATA("Sum of NEW-Tot UG SCH Calc",'Pivot Table for Fact Book'!$A$3,"State","TX","type",9,"Type2","Two-Year")</f>
        <v>0</v>
      </c>
      <c r="X18" s="190">
        <f>GETPIVOTDATA("Sum of OLD-Tot UG SCH Calc",'Pivot Table for Fact Book'!$A$3,"State","TX","type",10,"Type2","Two-Year")</f>
        <v>0</v>
      </c>
      <c r="Y18" s="190">
        <f>GETPIVOTDATA("Sum of NEW-Tot UG SCH Calc",'Pivot Table for Fact Book'!$A$3,"State","TX","type",10,"Type2","Two-Year")</f>
        <v>0</v>
      </c>
      <c r="Z18" s="192">
        <f>GETPIVOTDATA("Sum of OLD-Tot UG SCH Calc",'Pivot Table for Fact Book'!$A$3,"State","TX","Type2","Two-Year")</f>
        <v>0</v>
      </c>
      <c r="AA18" s="192">
        <f>GETPIVOTDATA("Sum of NEW-Tot UG SCH Calc",'Pivot Table for Fact Book'!$A$3,"State","TX","Type2","Two-Year")</f>
        <v>0</v>
      </c>
      <c r="AB18" s="189">
        <f>+GETPIVOTDATA("Sum of OLD-Tot UG SCH Calc",'Pivot Table for Fact Book'!$A$3,"State","TX","type",12,"type2","Techncial")</f>
        <v>0</v>
      </c>
      <c r="AC18" s="190">
        <f>+GETPIVOTDATA("Sum of NEW-Tot UG SCH Calc",'Pivot Table for Fact Book'!$A$3,"State","TX","type",12,"type2","Techncial")</f>
        <v>0</v>
      </c>
      <c r="AD18" s="189">
        <f>+GETPIVOTDATA("Sum of OLD-Tot UG SCH Calc",'Pivot Table for Fact Book'!$A$3,"State","TX","type",13,"type2","Techncial")</f>
        <v>0</v>
      </c>
      <c r="AE18" s="190">
        <f>+GETPIVOTDATA("Sum of NEW-Tot UG SCH Calc",'Pivot Table for Fact Book'!$A$3,"State","TX","type",13,"type2","Techncial")</f>
        <v>0</v>
      </c>
      <c r="AF18" s="193">
        <f>+GETPIVOTDATA("Sum of OLD-Tot UG SCH Calc",'Pivot Table for Fact Book'!$A$3,"State","TX","type2","Techncial")</f>
        <v>0</v>
      </c>
      <c r="AG18" s="194">
        <f>+GETPIVOTDATA("Sum of NEW-Tot UG SCH Calc",'Pivot Table for Fact Book'!$A$3,"State","TX","type2","Techncial")</f>
        <v>0</v>
      </c>
    </row>
    <row r="19" spans="1:33">
      <c r="A19" s="202" t="s">
        <v>680</v>
      </c>
      <c r="B19" s="189">
        <f>GETPIVOTDATA("Sum of OLD-Tot UG SCH Calc",'Pivot Table for Fact Book'!$A$3,"State","VA","type",1,"Type2","Four-Year")</f>
        <v>3230412</v>
      </c>
      <c r="C19" s="190">
        <f>GETPIVOTDATA("Sum of NEW-Tot UG SCH Calc",'Pivot Table for Fact Book'!$A$3,"State","VA","type",1,"Type2","Four-Year")</f>
        <v>3275336</v>
      </c>
      <c r="D19" s="189">
        <f>GETPIVOTDATA("Sum of OLD-Tot UG SCH Calc",'Pivot Table for Fact Book'!$A$3,"State","VA","type",2,"Type2","Four-Year")</f>
        <v>186440.5</v>
      </c>
      <c r="E19" s="190">
        <f>GETPIVOTDATA("Sum of NEW-Tot UG SCH Calc",'Pivot Table for Fact Book'!$A$3,"State","VA","type",2,"Type2","Four-Year")</f>
        <v>184143.5</v>
      </c>
      <c r="F19" s="189">
        <f>GETPIVOTDATA("Sum of OLD-Tot UG SCH Calc",'Pivot Table for Fact Book'!$A$3,"State","VA","type",3,"Type2","Four-Year")</f>
        <v>1327865.7</v>
      </c>
      <c r="G19" s="190">
        <f>GETPIVOTDATA("Sum of NEW-Tot UG SCH Calc",'Pivot Table for Fact Book'!$A$3,"State","VA","type",3,"Type2","Four-Year")</f>
        <v>1314546.8999999999</v>
      </c>
      <c r="H19" s="189">
        <f>GETPIVOTDATA("Sum of OLD-Tot UG SCH Calc",'Pivot Table for Fact Book'!$A$3,"State","VA","type",4,"Type2","Four-Year")</f>
        <v>0</v>
      </c>
      <c r="I19" s="190">
        <f>GETPIVOTDATA("Sum of NEW-Tot UG SCH Calc",'Pivot Table for Fact Book'!$A$3,"State","VA","type",4,"Type2","Four-Year")</f>
        <v>0</v>
      </c>
      <c r="J19" s="189">
        <f>GETPIVOTDATA("Sum of OLD-Tot UG SCH Calc",'Pivot Table for Fact Book'!$A$3,"State","VA","type",5,"Type2","Four-Year")</f>
        <v>141653</v>
      </c>
      <c r="K19" s="190">
        <f>GETPIVOTDATA("Sum of NEW-Tot UG SCH Calc",'Pivot Table for Fact Book'!$A$3,"State","VA","type",5,"Type2","Four-Year")</f>
        <v>139911</v>
      </c>
      <c r="L19" s="189">
        <f>GETPIVOTDATA("Sum of OLD-Tot UG SCH Calc",'Pivot Table for Fact Book'!$A$3,"State","VA","type",6,"Type2","Four-Year")</f>
        <v>46337</v>
      </c>
      <c r="M19" s="190">
        <f>GETPIVOTDATA("Sum of NEW-Tot UG SCH Calc",'Pivot Table for Fact Book'!$A$3,"State","VA","type",6,"Type2","Four-Year")</f>
        <v>45800</v>
      </c>
      <c r="N19" s="189">
        <f>GETPIVOTDATA("Sum of OLD-Tot UG SCH Calc",'Pivot Table for Fact Book'!$A$3,"State","VA","type",15,"Type2","Four-Year")</f>
        <v>0</v>
      </c>
      <c r="O19" s="190">
        <f>GETPIVOTDATA("Sum of NEW-Tot UG SCH Calc",'Pivot Table for Fact Book'!$A$3,"State","VA","type",15,"Type2","Four-Year")</f>
        <v>0</v>
      </c>
      <c r="P19" s="191">
        <f>GETPIVOTDATA("Sum of OLD-Tot UG SCH Calc",'Pivot Table for Fact Book'!$A$3,"State","VA","Type2","Four-Year")</f>
        <v>4932708.2</v>
      </c>
      <c r="Q19" s="191">
        <f>GETPIVOTDATA("Sum of NEW-Tot UG SCH Calc",'Pivot Table for Fact Book'!$A$3,"State","VA","Type2","Four-Year")</f>
        <v>4959737.4000000004</v>
      </c>
      <c r="R19" s="189">
        <f>GETPIVOTDATA("Sum of OLD-Tot UG SCH Calc",'Pivot Table for Fact Book'!$A$3,"State","VA","type",7,"Type2","Two-Year")</f>
        <v>0</v>
      </c>
      <c r="S19" s="190">
        <f>GETPIVOTDATA("Sum of NEW-Tot UG SCH Calc",'Pivot Table for Fact Book'!$A$3,"State","VA","type",7,"Type2","Two-Year")</f>
        <v>0</v>
      </c>
      <c r="T19" s="190">
        <f>GETPIVOTDATA("Sum of OLD-Tot UG SCH Calc",'Pivot Table for Fact Book'!$A$3,"State","VA","type",8,"Type2","Two-Year")</f>
        <v>1865790</v>
      </c>
      <c r="U19" s="190">
        <f>GETPIVOTDATA("Sum of NEW-Tot UG SCH Calc",'Pivot Table for Fact Book'!$A$3,"State","VA","type",8,"Type2","Two-Year")</f>
        <v>1819949</v>
      </c>
      <c r="V19" s="190">
        <f>GETPIVOTDATA("Sum of OLD-Tot UG SCH Calc",'Pivot Table for Fact Book'!$A$3,"State","VA","type",9,"Type2","Two-Year")</f>
        <v>736738</v>
      </c>
      <c r="W19" s="190">
        <f>GETPIVOTDATA("Sum of NEW-Tot UG SCH Calc",'Pivot Table for Fact Book'!$A$3,"State","VA","type",9,"Type2","Two-Year")</f>
        <v>718044</v>
      </c>
      <c r="X19" s="190">
        <f>GETPIVOTDATA("Sum of OLD-Tot UG SCH Calc",'Pivot Table for Fact Book'!$A$3,"State","VA","type",10,"Type2","Two-Year")</f>
        <v>434992</v>
      </c>
      <c r="Y19" s="190">
        <f>GETPIVOTDATA("Sum of NEW-Tot UG SCH Calc",'Pivot Table for Fact Book'!$A$3,"State","VA","type",10,"Type2","Two-Year")</f>
        <v>429842</v>
      </c>
      <c r="Z19" s="192">
        <f>GETPIVOTDATA("Sum of OLD-Tot UG SCH Calc",'Pivot Table for Fact Book'!$A$3,"State","VA","Type2","Two-Year")</f>
        <v>3037520</v>
      </c>
      <c r="AA19" s="192">
        <f>GETPIVOTDATA("Sum of NEW-Tot UG SCH Calc",'Pivot Table for Fact Book'!$A$3,"State","VA","Type2","Two-Year")</f>
        <v>2967835</v>
      </c>
      <c r="AB19" s="189">
        <f>+GETPIVOTDATA("Sum of OLD-Tot UG SCH Calc",'Pivot Table for Fact Book'!$A$3,"State","VA","type",12,"type2","Techncial")</f>
        <v>0</v>
      </c>
      <c r="AC19" s="190">
        <f>+GETPIVOTDATA("Sum of NEW-Tot UG SCH Calc",'Pivot Table for Fact Book'!$A$3,"State","VA","type",12,"type2","Techncial")</f>
        <v>0</v>
      </c>
      <c r="AD19" s="189">
        <f>+GETPIVOTDATA("Sum of OLD-Tot UG SCH Calc",'Pivot Table for Fact Book'!$A$3,"State","VA","type",13,"type2","Techncial")</f>
        <v>0</v>
      </c>
      <c r="AE19" s="190">
        <f>+GETPIVOTDATA("Sum of NEW-Tot UG SCH Calc",'Pivot Table for Fact Book'!$A$3,"State","VA","type",13,"type2","Techncial")</f>
        <v>0</v>
      </c>
      <c r="AF19" s="193">
        <f>+GETPIVOTDATA("Sum of OLD-Tot UG SCH Calc",'Pivot Table for Fact Book'!$A$3,"State","VA","type2","Techncial")</f>
        <v>0</v>
      </c>
      <c r="AG19" s="194">
        <f>+GETPIVOTDATA("Sum of NEW-Tot UG SCH Calc",'Pivot Table for Fact Book'!$A$3,"State","VA","type2","Techncial")</f>
        <v>0</v>
      </c>
    </row>
    <row r="20" spans="1:33">
      <c r="A20" s="223" t="s">
        <v>681</v>
      </c>
      <c r="B20" s="195">
        <f>GETPIVOTDATA("Sum of OLD-Tot UG SCH Calc",'Pivot Table for Fact Book'!$A$3,"State","WV","type",1,"Type2","Four-Year")</f>
        <v>625795</v>
      </c>
      <c r="C20" s="196">
        <f>GETPIVOTDATA("Sum of NEW-Tot UG SCH Calc",'Pivot Table for Fact Book'!$A$3,"State","WV","type",1,"Type2","Four-Year")</f>
        <v>610650</v>
      </c>
      <c r="D20" s="195">
        <f>GETPIVOTDATA("Sum of OLD-Tot UG SCH Calc",'Pivot Table for Fact Book'!$A$3,"State","WV","type",2,"Type2","Four-Year")</f>
        <v>0</v>
      </c>
      <c r="E20" s="196">
        <f>GETPIVOTDATA("Sum of NEW-Tot UG SCH Calc",'Pivot Table for Fact Book'!$A$3,"State","WV","type",2,"Type2","Four-Year")</f>
        <v>0</v>
      </c>
      <c r="F20" s="195">
        <f>GETPIVOTDATA("Sum of OLD-Tot UG SCH Calc",'Pivot Table for Fact Book'!$A$3,"State","WV","type",3,"Type2","Four-Year")</f>
        <v>256593</v>
      </c>
      <c r="G20" s="196">
        <f>GETPIVOTDATA("Sum of NEW-Tot UG SCH Calc",'Pivot Table for Fact Book'!$A$3,"State","WV","type",3,"Type2","Four-Year")</f>
        <v>246456</v>
      </c>
      <c r="H20" s="195">
        <f>GETPIVOTDATA("Sum of OLD-Tot UG SCH Calc",'Pivot Table for Fact Book'!$A$3,"State","WV","type",4,"Type2","Four-Year")</f>
        <v>0</v>
      </c>
      <c r="I20" s="196">
        <f>GETPIVOTDATA("Sum of NEW-Tot UG SCH Calc",'Pivot Table for Fact Book'!$A$3,"State","WV","type",4,"Type2","Four-Year")</f>
        <v>0</v>
      </c>
      <c r="J20" s="195">
        <f>GETPIVOTDATA("Sum of OLD-Tot UG SCH Calc",'Pivot Table for Fact Book'!$A$3,"State","WV","type",5,"Type2","Four-Year")</f>
        <v>297148</v>
      </c>
      <c r="K20" s="196">
        <f>GETPIVOTDATA("Sum of NEW-Tot UG SCH Calc",'Pivot Table for Fact Book'!$A$3,"State","WV","type",5,"Type2","Four-Year")</f>
        <v>285476</v>
      </c>
      <c r="L20" s="195">
        <f>GETPIVOTDATA("Sum of OLD-Tot UG SCH Calc",'Pivot Table for Fact Book'!$A$3,"State","WV","type",6,"Type2","Four-Year")</f>
        <v>177494</v>
      </c>
      <c r="M20" s="196">
        <f>GETPIVOTDATA("Sum of NEW-Tot UG SCH Calc",'Pivot Table for Fact Book'!$A$3,"State","WV","type",6,"Type2","Four-Year")</f>
        <v>177726</v>
      </c>
      <c r="N20" s="195">
        <f>GETPIVOTDATA("Sum of OLD-Tot UG SCH Calc",'Pivot Table for Fact Book'!$A$3,"State","WV","type",15,"Type2","Four-Year")</f>
        <v>0</v>
      </c>
      <c r="O20" s="196">
        <f>GETPIVOTDATA("Sum of NEW-Tot UG SCH Calc",'Pivot Table for Fact Book'!$A$3,"State","WV","type",15,"Type2","Four-Year")</f>
        <v>0</v>
      </c>
      <c r="P20" s="197">
        <f>GETPIVOTDATA("Sum of OLD-Tot UG SCH Calc",'Pivot Table for Fact Book'!$A$3,"State","WV","Type2","Four-Year")</f>
        <v>1357030</v>
      </c>
      <c r="Q20" s="197">
        <f>GETPIVOTDATA("Sum of NEW-Tot UG SCH Calc",'Pivot Table for Fact Book'!$A$3,"State","WV","Type2","Four-Year")</f>
        <v>1320308</v>
      </c>
      <c r="R20" s="195">
        <f>GETPIVOTDATA("Sum of OLD-Tot UG SCH Calc",'Pivot Table for Fact Book'!$A$3,"State","WV","type",7,"Type2","Two-Year")</f>
        <v>87136</v>
      </c>
      <c r="S20" s="196">
        <f>GETPIVOTDATA("Sum of NEW-Tot UG SCH Calc",'Pivot Table for Fact Book'!$A$3,"State","WV","type",7,"Type2","Two-Year")</f>
        <v>86472</v>
      </c>
      <c r="T20" s="196">
        <f>GETPIVOTDATA("Sum of OLD-Tot UG SCH Calc",'Pivot Table for Fact Book'!$A$3,"State","WV","type",8,"Type2","Two-Year")</f>
        <v>0</v>
      </c>
      <c r="U20" s="196">
        <f>GETPIVOTDATA("Sum of NEW-Tot UG SCH Calc",'Pivot Table for Fact Book'!$A$3,"State","WV","type",8,"Type2","Two-Year")</f>
        <v>0</v>
      </c>
      <c r="V20" s="196">
        <f>GETPIVOTDATA("Sum of OLD-Tot UG SCH Calc",'Pivot Table for Fact Book'!$A$3,"State","WV","type",9,"Type2","Two-Year")</f>
        <v>65524</v>
      </c>
      <c r="W20" s="196">
        <f>GETPIVOTDATA("Sum of NEW-Tot UG SCH Calc",'Pivot Table for Fact Book'!$A$3,"State","WV","type",9,"Type2","Two-Year")</f>
        <v>65355</v>
      </c>
      <c r="X20" s="196">
        <f>GETPIVOTDATA("Sum of OLD-Tot UG SCH Calc",'Pivot Table for Fact Book'!$A$3,"State","WV","type",10,"Type2","Two-Year")</f>
        <v>216937</v>
      </c>
      <c r="Y20" s="196">
        <f>GETPIVOTDATA("Sum of NEW-Tot UG SCH Calc",'Pivot Table for Fact Book'!$A$3,"State","WV","type",10,"Type2","Two-Year")</f>
        <v>212955</v>
      </c>
      <c r="Z20" s="198">
        <f>GETPIVOTDATA("Sum of OLD-Tot UG SCH Calc",'Pivot Table for Fact Book'!$A$3,"State","WV","Type2","Two-Year")</f>
        <v>369597</v>
      </c>
      <c r="AA20" s="198">
        <f>GETPIVOTDATA("Sum of NEW-Tot UG SCH Calc",'Pivot Table for Fact Book'!$A$3,"State","WV","Type2","Two-Year")</f>
        <v>364782</v>
      </c>
      <c r="AB20" s="195">
        <f>+GETPIVOTDATA("Sum of OLD-Tot UG SCH Calc",'Pivot Table for Fact Book'!$A$3,"State","WV","type",12,"type2","Techncial")</f>
        <v>0</v>
      </c>
      <c r="AC20" s="196">
        <f>+GETPIVOTDATA("Sum of NEW-Tot UG SCH Calc",'Pivot Table for Fact Book'!$A$3,"State","WV","type",12,"type2","Techncial")</f>
        <v>0</v>
      </c>
      <c r="AD20" s="195">
        <f>+GETPIVOTDATA("Sum of OLD-Tot UG SCH Calc",'Pivot Table for Fact Book'!$A$3,"State","WV","type",13,"type2","Techncial")</f>
        <v>0</v>
      </c>
      <c r="AE20" s="196">
        <f>+GETPIVOTDATA("Sum of NEW-Tot UG SCH Calc",'Pivot Table for Fact Book'!$A$3,"State","WV","type",13,"type2","Techncial")</f>
        <v>0</v>
      </c>
      <c r="AF20" s="199">
        <f>+GETPIVOTDATA("Sum of OLD-Tot UG SCH Calc",'Pivot Table for Fact Book'!$A$3,"State","WV","type2","Techncial")</f>
        <v>0</v>
      </c>
      <c r="AG20" s="200">
        <f>+GETPIVOTDATA("Sum of NEW-Tot UG SCH Calc",'Pivot Table for Fact Book'!$A$3,"State","WV","type2","Techncial")</f>
        <v>0</v>
      </c>
    </row>
    <row r="22" spans="1:33">
      <c r="A22" s="201" t="s">
        <v>682</v>
      </c>
    </row>
    <row r="23" spans="1:33">
      <c r="B23" s="203" t="s">
        <v>662</v>
      </c>
      <c r="C23" s="204"/>
      <c r="D23" s="204"/>
      <c r="E23" s="204"/>
      <c r="F23" s="204"/>
      <c r="G23" s="204"/>
      <c r="H23" s="204"/>
      <c r="I23" s="204"/>
      <c r="J23" s="204"/>
      <c r="K23" s="204"/>
      <c r="L23" s="204"/>
      <c r="M23" s="204"/>
      <c r="N23" s="204"/>
      <c r="O23" s="204"/>
      <c r="P23" s="204"/>
      <c r="Q23" s="204"/>
      <c r="R23" s="205" t="s">
        <v>663</v>
      </c>
      <c r="S23" s="206"/>
      <c r="T23" s="206"/>
      <c r="U23" s="206"/>
      <c r="V23" s="206"/>
      <c r="W23" s="206"/>
      <c r="X23" s="206"/>
      <c r="Y23" s="206"/>
      <c r="Z23" s="206"/>
      <c r="AA23" s="206"/>
      <c r="AB23" s="207" t="s">
        <v>664</v>
      </c>
      <c r="AC23" s="208"/>
      <c r="AD23" s="208"/>
      <c r="AE23" s="208"/>
      <c r="AF23" s="208"/>
      <c r="AG23" s="208"/>
    </row>
    <row r="24" spans="1:33">
      <c r="B24" s="209">
        <v>1</v>
      </c>
      <c r="C24" s="210"/>
      <c r="D24" s="209">
        <v>2</v>
      </c>
      <c r="E24" s="210"/>
      <c r="F24" s="209">
        <v>3</v>
      </c>
      <c r="G24" s="210"/>
      <c r="H24" s="209">
        <v>4</v>
      </c>
      <c r="I24" s="210"/>
      <c r="J24" s="209">
        <v>5</v>
      </c>
      <c r="K24" s="210"/>
      <c r="L24" s="209">
        <v>6</v>
      </c>
      <c r="M24" s="210"/>
      <c r="N24" s="209">
        <v>15</v>
      </c>
      <c r="O24" s="210"/>
      <c r="P24" s="209" t="s">
        <v>665</v>
      </c>
      <c r="Q24" s="211"/>
      <c r="R24" s="212">
        <v>7</v>
      </c>
      <c r="S24" s="213"/>
      <c r="T24" s="212">
        <v>8</v>
      </c>
      <c r="U24" s="213"/>
      <c r="V24" s="212">
        <v>9</v>
      </c>
      <c r="W24" s="213"/>
      <c r="X24" s="212">
        <v>10</v>
      </c>
      <c r="Y24" s="213"/>
      <c r="Z24" s="212" t="s">
        <v>665</v>
      </c>
      <c r="AA24" s="213"/>
      <c r="AB24" s="214">
        <v>12</v>
      </c>
      <c r="AC24" s="215"/>
      <c r="AD24" s="214">
        <v>13</v>
      </c>
      <c r="AE24" s="215"/>
      <c r="AF24" s="214" t="s">
        <v>665</v>
      </c>
      <c r="AG24" s="215"/>
    </row>
    <row r="25" spans="1:33" s="225" customFormat="1">
      <c r="A25" s="224"/>
      <c r="B25" s="217">
        <v>2018</v>
      </c>
      <c r="C25" s="218">
        <v>2019</v>
      </c>
      <c r="D25" s="217">
        <v>2018</v>
      </c>
      <c r="E25" s="218">
        <v>2019</v>
      </c>
      <c r="F25" s="217">
        <v>2018</v>
      </c>
      <c r="G25" s="218">
        <v>2019</v>
      </c>
      <c r="H25" s="217">
        <v>2018</v>
      </c>
      <c r="I25" s="218">
        <v>2019</v>
      </c>
      <c r="J25" s="217">
        <v>2018</v>
      </c>
      <c r="K25" s="218">
        <v>2019</v>
      </c>
      <c r="L25" s="217">
        <v>2018</v>
      </c>
      <c r="M25" s="218">
        <v>2019</v>
      </c>
      <c r="N25" s="217">
        <v>2018</v>
      </c>
      <c r="O25" s="218">
        <v>2019</v>
      </c>
      <c r="P25" s="217">
        <v>2018</v>
      </c>
      <c r="Q25" s="218">
        <v>2019</v>
      </c>
      <c r="R25" s="219">
        <v>2018</v>
      </c>
      <c r="S25" s="220">
        <v>2019</v>
      </c>
      <c r="T25" s="219">
        <v>2018</v>
      </c>
      <c r="U25" s="220">
        <v>2019</v>
      </c>
      <c r="V25" s="219">
        <v>2018</v>
      </c>
      <c r="W25" s="220">
        <v>2019</v>
      </c>
      <c r="X25" s="219">
        <v>2018</v>
      </c>
      <c r="Y25" s="220">
        <v>2019</v>
      </c>
      <c r="Z25" s="219">
        <v>2018</v>
      </c>
      <c r="AA25" s="220">
        <v>2019</v>
      </c>
      <c r="AB25" s="219">
        <v>2018</v>
      </c>
      <c r="AC25" s="221">
        <v>2019</v>
      </c>
      <c r="AD25" s="219">
        <v>2018</v>
      </c>
      <c r="AE25" s="221">
        <v>2019</v>
      </c>
      <c r="AF25" s="219">
        <v>2018</v>
      </c>
      <c r="AG25" s="221">
        <v>2019</v>
      </c>
    </row>
    <row r="26" spans="1:33">
      <c r="A26" s="202" t="s">
        <v>666</v>
      </c>
      <c r="B26" s="189">
        <f>GETPIVOTDATA("Sum of Old UG E-Learning",'Pivot Table for Fact Book'!$A$3,"State","AL","type",1,"Type2","Four-Year")</f>
        <v>245539</v>
      </c>
      <c r="C26" s="190">
        <f>GETPIVOTDATA("Sum of New UG E-Learning",'Pivot Table for Fact Book'!$A$3,"State","AL","type",1,"Type2","Four-Year")</f>
        <v>293112</v>
      </c>
      <c r="D26" s="189">
        <f>GETPIVOTDATA("Sum of Old UG E-Learning",'Pivot Table for Fact Book'!$A$3,"State","AL","type",2,"Type2","Four-Year")</f>
        <v>57916</v>
      </c>
      <c r="E26" s="190">
        <f>GETPIVOTDATA("Sum of New UG E-Learning",'Pivot Table for Fact Book'!$A$3,"State","AL","type",2,"Type2","Four-Year")</f>
        <v>67906</v>
      </c>
      <c r="F26" s="189">
        <f>GETPIVOTDATA("Sum of Old UG E-Learning",'Pivot Table for Fact Book'!$A$3,"State","AL","type",3,"Type2","Four-Year")</f>
        <v>191244</v>
      </c>
      <c r="G26" s="190">
        <f>GETPIVOTDATA("Sum of New UG E-Learning",'Pivot Table for Fact Book'!$A$3,"State","AL","type",3,"Type2","Four-Year")</f>
        <v>225721</v>
      </c>
      <c r="H26" s="189">
        <f>GETPIVOTDATA("Sum of Old UG E-Learning",'Pivot Table for Fact Book'!$A$3,"State","AL","type",4,"Type2","Four-Year")</f>
        <v>46677</v>
      </c>
      <c r="I26" s="190">
        <f>GETPIVOTDATA("Sum of New UG E-Learning",'Pivot Table for Fact Book'!$A$3,"State","AL","type",4,"Type2","Four-Year")</f>
        <v>47643</v>
      </c>
      <c r="J26" s="189">
        <f>GETPIVOTDATA("Sum of Old UG E-Learning",'Pivot Table for Fact Book'!$A$3,"State","AL","type",5,"Type2","Four-Year")</f>
        <v>18257</v>
      </c>
      <c r="K26" s="190">
        <f>GETPIVOTDATA("Sum of New UG E-Learning",'Pivot Table for Fact Book'!$A$3,"State","AL","type",5,"Type2","Four-Year")</f>
        <v>27742</v>
      </c>
      <c r="L26" s="189">
        <f>GETPIVOTDATA("Sum of Old UG E-Learning",'Pivot Table for Fact Book'!$A$3,"State","AL","type",6,"Type2","Four-Year")</f>
        <v>53013</v>
      </c>
      <c r="M26" s="190">
        <f>GETPIVOTDATA("Sum of New UG E-Learning",'Pivot Table for Fact Book'!$A$3,"State","AL","type",6,"Type2","Four-Year")</f>
        <v>52577</v>
      </c>
      <c r="N26" s="189">
        <f>GETPIVOTDATA("Sum of Old UG E-Learning",'Pivot Table for Fact Book'!$A$3,"State","AL","type",15,"Type2","Four-Year")</f>
        <v>184</v>
      </c>
      <c r="O26" s="190">
        <f>GETPIVOTDATA("Sum of New UG E-Learning",'Pivot Table for Fact Book'!$A$3,"State","AL","type",15,"Type2","Four-Year")</f>
        <v>449</v>
      </c>
      <c r="P26" s="191">
        <f>GETPIVOTDATA("Sum of Old UG E-Learning",'Pivot Table for Fact Book'!$A$3,"State","AL","Type2","Four-Year")</f>
        <v>612830</v>
      </c>
      <c r="Q26" s="191">
        <f>GETPIVOTDATA("Sum of New UG E-Learning",'Pivot Table for Fact Book'!$A$3,"State","AL","Type2","Four-Year")</f>
        <v>715150</v>
      </c>
      <c r="R26" s="189">
        <f>GETPIVOTDATA("Sum of Old UG E-Learning",'Pivot Table for Fact Book'!$A$3,"State","AL","type",7,"Type2","Two-Year")</f>
        <v>0</v>
      </c>
      <c r="S26" s="190">
        <f>GETPIVOTDATA("Sum of New UG E-Learning",'Pivot Table for Fact Book'!$A$3,"State","AL","type",7,"Type2","Two-Year")</f>
        <v>0</v>
      </c>
      <c r="T26" s="190">
        <f>GETPIVOTDATA("Sum of Old UG E-Learning",'Pivot Table for Fact Book'!$A$3,"State","AL","type",8,"Type2","Two-Year")</f>
        <v>131264</v>
      </c>
      <c r="U26" s="190">
        <f>GETPIVOTDATA("Sum of New UG E-Learning",'Pivot Table for Fact Book'!$A$3,"State","AL","type",8,"Type2","Two-Year")</f>
        <v>130231</v>
      </c>
      <c r="V26" s="190">
        <f>GETPIVOTDATA("Sum of Old UG E-Learning",'Pivot Table for Fact Book'!$A$3,"State","AL","type",9,"Type2","Two-Year")</f>
        <v>248775</v>
      </c>
      <c r="W26" s="190">
        <f>GETPIVOTDATA("Sum of New UG E-Learning",'Pivot Table for Fact Book'!$A$3,"State","AL","type",9,"Type2","Two-Year")</f>
        <v>272651</v>
      </c>
      <c r="X26" s="190">
        <f>GETPIVOTDATA("Sum of Old UG E-Learning",'Pivot Table for Fact Book'!$A$3,"State","AL","type",10,"Type2","Two-Year")</f>
        <v>113019</v>
      </c>
      <c r="Y26" s="190">
        <f>GETPIVOTDATA("Sum of New UG E-Learning",'Pivot Table for Fact Book'!$A$3,"State","AL","type",10,"Type2","Two-Year")</f>
        <v>115759</v>
      </c>
      <c r="Z26" s="192">
        <f>GETPIVOTDATA("Sum of Old UG E-Learning",'Pivot Table for Fact Book'!$A$3,"State","AL","Type2","Two-Year")</f>
        <v>493058</v>
      </c>
      <c r="AA26" s="192">
        <f>GETPIVOTDATA("Sum of New UG E-Learning",'Pivot Table for Fact Book'!$A$3,"State","AL","Type2","Two-Year")</f>
        <v>518641</v>
      </c>
      <c r="AB26" s="189">
        <f>+GETPIVOTDATA("Sum of Old UG E-Learning",'Pivot Table for Fact Book'!$A$3,"State","AL","type",12,"type2","Techncial")</f>
        <v>3617</v>
      </c>
      <c r="AC26" s="190">
        <f>+GETPIVOTDATA("Sum of New UG E-Learning",'Pivot Table for Fact Book'!$A$3,"State","AL","type",12,"type2","Techncial")</f>
        <v>6546</v>
      </c>
      <c r="AD26" s="190">
        <f>+GETPIVOTDATA("Sum of Old UG E-Learning",'Pivot Table for Fact Book'!$A$3,"State","AL","type",13,"type2","Techncial")</f>
        <v>5452</v>
      </c>
      <c r="AE26" s="190">
        <f>+GETPIVOTDATA("Sum of New UG E-Learning",'Pivot Table for Fact Book'!$A$3,"State","AL","type",13,"type2","Techncial")</f>
        <v>5397</v>
      </c>
      <c r="AF26" s="194">
        <f>+GETPIVOTDATA("Sum of Old UG E-Learning",'Pivot Table for Fact Book'!$A$3,"State","AL","type2","Techncial")</f>
        <v>9069</v>
      </c>
      <c r="AG26" s="194">
        <f>+GETPIVOTDATA("Sum of New UG E-Learning",'Pivot Table for Fact Book'!$A$3,"State","AL","type2","Techncial")</f>
        <v>11943</v>
      </c>
    </row>
    <row r="27" spans="1:33">
      <c r="A27" s="202" t="s">
        <v>667</v>
      </c>
      <c r="B27" s="189">
        <f>GETPIVOTDATA("Sum of Old UG E-Learning",'Pivot Table for Fact Book'!$A$3,"State","AR","type",1,"Type2","Four-Year")</f>
        <v>59032</v>
      </c>
      <c r="C27" s="190">
        <f>GETPIVOTDATA("Sum of New UG E-Learning",'Pivot Table for Fact Book'!$A$3,"State","AR","type",1,"Type2","Four-Year")</f>
        <v>65232</v>
      </c>
      <c r="D27" s="189">
        <f>GETPIVOTDATA("Sum of Old UG E-Learning",'Pivot Table for Fact Book'!$A$3,"State","AR","type",2,"Type2","Four-Year")</f>
        <v>72603</v>
      </c>
      <c r="E27" s="190">
        <f>GETPIVOTDATA("Sum of New UG E-Learning",'Pivot Table for Fact Book'!$A$3,"State","AR","type",2,"Type2","Four-Year")</f>
        <v>71089</v>
      </c>
      <c r="F27" s="189">
        <f>GETPIVOTDATA("Sum of Old UG E-Learning",'Pivot Table for Fact Book'!$A$3,"State","AR","type",3,"Type2","Four-Year")</f>
        <v>170290</v>
      </c>
      <c r="G27" s="190">
        <f>GETPIVOTDATA("Sum of New UG E-Learning",'Pivot Table for Fact Book'!$A$3,"State","AR","type",3,"Type2","Four-Year")</f>
        <v>176715</v>
      </c>
      <c r="H27" s="189">
        <f>GETPIVOTDATA("Sum of Old UG E-Learning",'Pivot Table for Fact Book'!$A$3,"State","AR","type",4,"Type2","Four-Year")</f>
        <v>53761</v>
      </c>
      <c r="I27" s="190">
        <f>GETPIVOTDATA("Sum of New UG E-Learning",'Pivot Table for Fact Book'!$A$3,"State","AR","type",4,"Type2","Four-Year")</f>
        <v>53693</v>
      </c>
      <c r="J27" s="189">
        <f>GETPIVOTDATA("Sum of Old UG E-Learning",'Pivot Table for Fact Book'!$A$3,"State","AR","type",5,"Type2","Four-Year")</f>
        <v>0</v>
      </c>
      <c r="K27" s="190">
        <f>GETPIVOTDATA("Sum of New UG E-Learning",'Pivot Table for Fact Book'!$A$3,"State","AR","type",5,"Type2","Four-Year")</f>
        <v>0</v>
      </c>
      <c r="L27" s="189">
        <f>GETPIVOTDATA("Sum of Old UG E-Learning",'Pivot Table for Fact Book'!$A$3,"State","AR","type",6,"Type2","Four-Year")</f>
        <v>53243</v>
      </c>
      <c r="M27" s="190">
        <f>GETPIVOTDATA("Sum of New UG E-Learning",'Pivot Table for Fact Book'!$A$3,"State","AR","type",6,"Type2","Four-Year")</f>
        <v>56779</v>
      </c>
      <c r="N27" s="189">
        <f>GETPIVOTDATA("Sum of Old UG E-Learning",'Pivot Table for Fact Book'!$A$3,"State","AR","type",15,"Type2","Four-Year")</f>
        <v>5278</v>
      </c>
      <c r="O27" s="190">
        <f>GETPIVOTDATA("Sum of New UG E-Learning",'Pivot Table for Fact Book'!$A$3,"State","AR","type",15,"Type2","Four-Year")</f>
        <v>5321</v>
      </c>
      <c r="P27" s="191">
        <f>GETPIVOTDATA("Sum of Old UG E-Learning",'Pivot Table for Fact Book'!$A$3,"State","AR","Type2","Four-Year")</f>
        <v>414207</v>
      </c>
      <c r="Q27" s="191">
        <f>GETPIVOTDATA("Sum of New UG E-Learning",'Pivot Table for Fact Book'!$A$3,"State","AR","Type2","Four-Year")</f>
        <v>428829</v>
      </c>
      <c r="R27" s="189">
        <f>GETPIVOTDATA("Sum of Old UG E-Learning",'Pivot Table for Fact Book'!$A$3,"State","AR","type",7,"Type2","Two-Year")</f>
        <v>0</v>
      </c>
      <c r="S27" s="190">
        <f>GETPIVOTDATA("Sum of New UG E-Learning",'Pivot Table for Fact Book'!$A$3,"State","AR","type",7,"Type2","Two-Year")</f>
        <v>0</v>
      </c>
      <c r="T27" s="190">
        <f>GETPIVOTDATA("Sum of Old UG E-Learning",'Pivot Table for Fact Book'!$A$3,"State","AR","type",8,"Type2","Two-Year")</f>
        <v>42628</v>
      </c>
      <c r="U27" s="190">
        <f>GETPIVOTDATA("Sum of New UG E-Learning",'Pivot Table for Fact Book'!$A$3,"State","AR","type",8,"Type2","Two-Year")</f>
        <v>45990</v>
      </c>
      <c r="V27" s="190">
        <f>GETPIVOTDATA("Sum of Old UG E-Learning",'Pivot Table for Fact Book'!$A$3,"State","AR","type",9,"Type2","Two-Year")</f>
        <v>61938</v>
      </c>
      <c r="W27" s="190">
        <f>GETPIVOTDATA("Sum of New UG E-Learning",'Pivot Table for Fact Book'!$A$3,"State","AR","type",9,"Type2","Two-Year")</f>
        <v>59060</v>
      </c>
      <c r="X27" s="190">
        <f>GETPIVOTDATA("Sum of Old UG E-Learning",'Pivot Table for Fact Book'!$A$3,"State","AR","type",10,"Type2","Two-Year")</f>
        <v>155326</v>
      </c>
      <c r="Y27" s="190">
        <f>GETPIVOTDATA("Sum of New UG E-Learning",'Pivot Table for Fact Book'!$A$3,"State","AR","type",10,"Type2","Two-Year")</f>
        <v>181072</v>
      </c>
      <c r="Z27" s="192">
        <f>GETPIVOTDATA("Sum of Old UG E-Learning",'Pivot Table for Fact Book'!$A$3,"State","AR","Type2","Two-Year")</f>
        <v>259892</v>
      </c>
      <c r="AA27" s="192">
        <f>GETPIVOTDATA("Sum of New UG E-Learning",'Pivot Table for Fact Book'!$A$3,"State","AR","Type2","Two-Year")</f>
        <v>286122</v>
      </c>
      <c r="AB27" s="189">
        <f>+GETPIVOTDATA("Sum of Old UG E-Learning",'Pivot Table for Fact Book'!$A$3,"State","AR","type",12,"type2","Techncial")</f>
        <v>0</v>
      </c>
      <c r="AC27" s="190">
        <f>+GETPIVOTDATA("Sum of New UG E-Learning",'Pivot Table for Fact Book'!$A$3,"State","AR","type",12,"type2","Techncial")</f>
        <v>0</v>
      </c>
      <c r="AD27" s="190">
        <f>+GETPIVOTDATA("Sum of Old UG E-Learning",'Pivot Table for Fact Book'!$A$3,"State","AR","type",13,"type2","Techncial")</f>
        <v>0</v>
      </c>
      <c r="AE27" s="190">
        <f>+GETPIVOTDATA("Sum of New UG E-Learning",'Pivot Table for Fact Book'!$A$3,"State","AR","type",13,"type2","Techncial")</f>
        <v>0</v>
      </c>
      <c r="AF27" s="194">
        <f>+GETPIVOTDATA("Sum of Old UG E-Learning",'Pivot Table for Fact Book'!$A$3,"State","AR","type2","Techncial")</f>
        <v>0</v>
      </c>
      <c r="AG27" s="194">
        <f>+GETPIVOTDATA("Sum of New UG E-Learning",'Pivot Table for Fact Book'!$A$3,"State","AR","type2","Techncial")</f>
        <v>0</v>
      </c>
    </row>
    <row r="28" spans="1:33">
      <c r="A28" s="202" t="s">
        <v>668</v>
      </c>
      <c r="B28" s="189">
        <f>GETPIVOTDATA("Sum of Old UG E-Learning",'Pivot Table for Fact Book'!$A$3,"State","DE","type",1,"Type2","Four-Year")</f>
        <v>22979</v>
      </c>
      <c r="C28" s="190">
        <f>GETPIVOTDATA("Sum of New UG E-Learning",'Pivot Table for Fact Book'!$A$3,"State","DE","type",1,"Type2","Four-Year")</f>
        <v>24983</v>
      </c>
      <c r="D28" s="189">
        <f>GETPIVOTDATA("Sum of Old UG E-Learning",'Pivot Table for Fact Book'!$A$3,"State","DE","type",2,"Type2","Four-Year")</f>
        <v>0</v>
      </c>
      <c r="E28" s="190">
        <f>GETPIVOTDATA("Sum of New UG E-Learning",'Pivot Table for Fact Book'!$A$3,"State","DE","type",2,"Type2","Four-Year")</f>
        <v>0</v>
      </c>
      <c r="F28" s="189">
        <f>GETPIVOTDATA("Sum of Old UG E-Learning",'Pivot Table for Fact Book'!$A$3,"State","DE","type",3,"Type2","Four-Year")</f>
        <v>10455</v>
      </c>
      <c r="G28" s="190">
        <f>GETPIVOTDATA("Sum of New UG E-Learning",'Pivot Table for Fact Book'!$A$3,"State","DE","type",3,"Type2","Four-Year")</f>
        <v>15157</v>
      </c>
      <c r="H28" s="189">
        <f>GETPIVOTDATA("Sum of Old UG E-Learning",'Pivot Table for Fact Book'!$A$3,"State","DE","type",4,"Type2","Four-Year")</f>
        <v>0</v>
      </c>
      <c r="I28" s="190">
        <f>GETPIVOTDATA("Sum of New UG E-Learning",'Pivot Table for Fact Book'!$A$3,"State","DE","type",4,"Type2","Four-Year")</f>
        <v>0</v>
      </c>
      <c r="J28" s="189">
        <f>GETPIVOTDATA("Sum of Old UG E-Learning",'Pivot Table for Fact Book'!$A$3,"State","DE","type",5,"Type2","Four-Year")</f>
        <v>0</v>
      </c>
      <c r="K28" s="190">
        <f>GETPIVOTDATA("Sum of New UG E-Learning",'Pivot Table for Fact Book'!$A$3,"State","DE","type",5,"Type2","Four-Year")</f>
        <v>0</v>
      </c>
      <c r="L28" s="189">
        <f>GETPIVOTDATA("Sum of Old UG E-Learning",'Pivot Table for Fact Book'!$A$3,"State","DE","type",6,"Type2","Four-Year")</f>
        <v>0</v>
      </c>
      <c r="M28" s="190">
        <f>GETPIVOTDATA("Sum of New UG E-Learning",'Pivot Table for Fact Book'!$A$3,"State","DE","type",6,"Type2","Four-Year")</f>
        <v>0</v>
      </c>
      <c r="N28" s="189">
        <f>GETPIVOTDATA("Sum of Old UG E-Learning",'Pivot Table for Fact Book'!$A$3,"State","DE","type",15,"Type2","Four-Year")</f>
        <v>0</v>
      </c>
      <c r="O28" s="190">
        <f>GETPIVOTDATA("Sum of New UG E-Learning",'Pivot Table for Fact Book'!$A$3,"State","DE","type",15,"Type2","Four-Year")</f>
        <v>0</v>
      </c>
      <c r="P28" s="191">
        <f>GETPIVOTDATA("Sum of Old UG E-Learning",'Pivot Table for Fact Book'!$A$3,"State","DE","Type2","Four-Year")</f>
        <v>33434</v>
      </c>
      <c r="Q28" s="191">
        <f>GETPIVOTDATA("Sum of New UG E-Learning",'Pivot Table for Fact Book'!$A$3,"State","DE","Type2","Four-Year")</f>
        <v>40140</v>
      </c>
      <c r="R28" s="189">
        <f>GETPIVOTDATA("Sum of Old UG E-Learning",'Pivot Table for Fact Book'!$A$3,"State","DE","type",7,"Type2","Two-Year")</f>
        <v>0</v>
      </c>
      <c r="S28" s="190">
        <f>GETPIVOTDATA("Sum of New UG E-Learning",'Pivot Table for Fact Book'!$A$3,"State","DE","type",7,"Type2","Two-Year")</f>
        <v>0</v>
      </c>
      <c r="T28" s="190">
        <f>GETPIVOTDATA("Sum of Old UG E-Learning",'Pivot Table for Fact Book'!$A$3,"State","DE","type",8,"Type2","Two-Year")</f>
        <v>0</v>
      </c>
      <c r="U28" s="190">
        <f>GETPIVOTDATA("Sum of New UG E-Learning",'Pivot Table for Fact Book'!$A$3,"State","DE","type",8,"Type2","Two-Year")</f>
        <v>0</v>
      </c>
      <c r="V28" s="190">
        <f>GETPIVOTDATA("Sum of Old UG E-Learning",'Pivot Table for Fact Book'!$A$3,"State","DE","type",9,"Type2","Two-Year")</f>
        <v>53031</v>
      </c>
      <c r="W28" s="190">
        <f>GETPIVOTDATA("Sum of New UG E-Learning",'Pivot Table for Fact Book'!$A$3,"State","DE","type",9,"Type2","Two-Year")</f>
        <v>54890</v>
      </c>
      <c r="X28" s="190">
        <f>GETPIVOTDATA("Sum of Old UG E-Learning",'Pivot Table for Fact Book'!$A$3,"State","DE","type",10,"Type2","Two-Year")</f>
        <v>0</v>
      </c>
      <c r="Y28" s="190">
        <f>GETPIVOTDATA("Sum of New UG E-Learning",'Pivot Table for Fact Book'!$A$3,"State","DE","type",10,"Type2","Two-Year")</f>
        <v>0</v>
      </c>
      <c r="Z28" s="192">
        <f>GETPIVOTDATA("Sum of Old UG E-Learning",'Pivot Table for Fact Book'!$A$3,"State","DE","Type2","Two-Year")</f>
        <v>53031</v>
      </c>
      <c r="AA28" s="192">
        <f>GETPIVOTDATA("Sum of New UG E-Learning",'Pivot Table for Fact Book'!$A$3,"State","DE","Type2","Two-Year")</f>
        <v>54890</v>
      </c>
      <c r="AB28" s="189">
        <f>+GETPIVOTDATA("Sum of Old UG E-Learning",'Pivot Table for Fact Book'!$A$3,"State","DE","type",12,"type2","Techncial")</f>
        <v>0</v>
      </c>
      <c r="AC28" s="190">
        <f>+GETPIVOTDATA("Sum of New UG E-Learning",'Pivot Table for Fact Book'!$A$3,"State","DE","type",12,"type2","Techncial")</f>
        <v>0</v>
      </c>
      <c r="AD28" s="190">
        <f>+GETPIVOTDATA("Sum of Old UG E-Learning",'Pivot Table for Fact Book'!$A$3,"State","DE","type",13,"type2","Techncial")</f>
        <v>0</v>
      </c>
      <c r="AE28" s="190">
        <f>+GETPIVOTDATA("Sum of New UG E-Learning",'Pivot Table for Fact Book'!$A$3,"State","DE","type",13,"type2","Techncial")</f>
        <v>0</v>
      </c>
      <c r="AF28" s="194">
        <f>+GETPIVOTDATA("Sum of Old UG E-Learning",'Pivot Table for Fact Book'!$A$3,"State","DE","type2","Techncial")</f>
        <v>0</v>
      </c>
      <c r="AG28" s="194">
        <f>+GETPIVOTDATA("Sum of New UG E-Learning",'Pivot Table for Fact Book'!$A$3,"State","DE","type2","Techncial")</f>
        <v>0</v>
      </c>
    </row>
    <row r="29" spans="1:33">
      <c r="A29" s="202" t="s">
        <v>669</v>
      </c>
      <c r="B29" s="189">
        <f>GETPIVOTDATA("Sum of Old UG E-Learning",'Pivot Table for Fact Book'!$A$3,"State","FL","type",1,"Type2","Four-Year")</f>
        <v>0</v>
      </c>
      <c r="C29" s="190">
        <f>GETPIVOTDATA("Sum of New UG E-Learning",'Pivot Table for Fact Book'!$A$3,"State","FL","type",1,"Type2","Four-Year")</f>
        <v>0</v>
      </c>
      <c r="D29" s="189">
        <f>GETPIVOTDATA("Sum of Old UG E-Learning",'Pivot Table for Fact Book'!$A$3,"State","FL","type",2,"Type2","Four-Year")</f>
        <v>0</v>
      </c>
      <c r="E29" s="190">
        <f>GETPIVOTDATA("Sum of New UG E-Learning",'Pivot Table for Fact Book'!$A$3,"State","FL","type",2,"Type2","Four-Year")</f>
        <v>0</v>
      </c>
      <c r="F29" s="189">
        <f>GETPIVOTDATA("Sum of Old UG E-Learning",'Pivot Table for Fact Book'!$A$3,"State","FL","type",3,"Type2","Four-Year")</f>
        <v>0</v>
      </c>
      <c r="G29" s="190">
        <f>GETPIVOTDATA("Sum of New UG E-Learning",'Pivot Table for Fact Book'!$A$3,"State","FL","type",3,"Type2","Four-Year")</f>
        <v>0</v>
      </c>
      <c r="H29" s="189">
        <f>GETPIVOTDATA("Sum of Old UG E-Learning",'Pivot Table for Fact Book'!$A$3,"State","FL","type",4,"Type2","Four-Year")</f>
        <v>0</v>
      </c>
      <c r="I29" s="190">
        <f>GETPIVOTDATA("Sum of New UG E-Learning",'Pivot Table for Fact Book'!$A$3,"State","FL","type",4,"Type2","Four-Year")</f>
        <v>0</v>
      </c>
      <c r="J29" s="189">
        <f>GETPIVOTDATA("Sum of Old UG E-Learning",'Pivot Table for Fact Book'!$A$3,"State","FL","type",5,"Type2","Four-Year")</f>
        <v>0</v>
      </c>
      <c r="K29" s="190">
        <f>GETPIVOTDATA("Sum of New UG E-Learning",'Pivot Table for Fact Book'!$A$3,"State","FL","type",5,"Type2","Four-Year")</f>
        <v>0</v>
      </c>
      <c r="L29" s="189">
        <f>GETPIVOTDATA("Sum of Old UG E-Learning",'Pivot Table for Fact Book'!$A$3,"State","FL","type",6,"Type2","Four-Year")</f>
        <v>0</v>
      </c>
      <c r="M29" s="190">
        <f>GETPIVOTDATA("Sum of New UG E-Learning",'Pivot Table for Fact Book'!$A$3,"State","FL","type",6,"Type2","Four-Year")</f>
        <v>0</v>
      </c>
      <c r="N29" s="189">
        <f>GETPIVOTDATA("Sum of Old UG E-Learning",'Pivot Table for Fact Book'!$A$3,"State","FL","type",15,"Type2","Four-Year")</f>
        <v>0</v>
      </c>
      <c r="O29" s="190">
        <f>GETPIVOTDATA("Sum of New UG E-Learning",'Pivot Table for Fact Book'!$A$3,"State","FL","type",15,"Type2","Four-Year")</f>
        <v>0</v>
      </c>
      <c r="P29" s="191">
        <f>GETPIVOTDATA("Sum of Old UG E-Learning",'Pivot Table for Fact Book'!$A$3,"State","FL","Type2","Four-Year")</f>
        <v>0</v>
      </c>
      <c r="Q29" s="191">
        <f>GETPIVOTDATA("Sum of New UG E-Learning",'Pivot Table for Fact Book'!$A$3,"State","FL","Type2","Four-Year")</f>
        <v>0</v>
      </c>
      <c r="R29" s="189">
        <f>GETPIVOTDATA("Sum of Old UG E-Learning",'Pivot Table for Fact Book'!$A$3,"State","FL","type",7,"Type2","Two-Year")</f>
        <v>2294518</v>
      </c>
      <c r="S29" s="190">
        <f>GETPIVOTDATA("Sum of New UG E-Learning",'Pivot Table for Fact Book'!$A$3,"State","FL","type",7,"Type2","Two-Year")</f>
        <v>2416129</v>
      </c>
      <c r="T29" s="190">
        <f>GETPIVOTDATA("Sum of Old UG E-Learning",'Pivot Table for Fact Book'!$A$3,"State","FL","type",8,"Type2","Two-Year")</f>
        <v>258871</v>
      </c>
      <c r="U29" s="190">
        <f>GETPIVOTDATA("Sum of New UG E-Learning",'Pivot Table for Fact Book'!$A$3,"State","FL","type",8,"Type2","Two-Year")</f>
        <v>291456</v>
      </c>
      <c r="V29" s="190">
        <f>GETPIVOTDATA("Sum of Old UG E-Learning",'Pivot Table for Fact Book'!$A$3,"State","FL","type",9,"Type2","Two-Year")</f>
        <v>0</v>
      </c>
      <c r="W29" s="190">
        <f>GETPIVOTDATA("Sum of New UG E-Learning",'Pivot Table for Fact Book'!$A$3,"State","FL","type",9,"Type2","Two-Year")</f>
        <v>0</v>
      </c>
      <c r="X29" s="190">
        <f>GETPIVOTDATA("Sum of Old UG E-Learning",'Pivot Table for Fact Book'!$A$3,"State","FL","type",10,"Type2","Two-Year")</f>
        <v>14214</v>
      </c>
      <c r="Y29" s="190">
        <f>GETPIVOTDATA("Sum of New UG E-Learning",'Pivot Table for Fact Book'!$A$3,"State","FL","type",10,"Type2","Two-Year")</f>
        <v>14921</v>
      </c>
      <c r="Z29" s="192">
        <f>GETPIVOTDATA("Sum of Old UG E-Learning",'Pivot Table for Fact Book'!$A$3,"State","FL","Type2","Two-Year")</f>
        <v>2567603</v>
      </c>
      <c r="AA29" s="192">
        <f>GETPIVOTDATA("Sum of New UG E-Learning",'Pivot Table for Fact Book'!$A$3,"State","FL","Type2","Two-Year")</f>
        <v>2722506</v>
      </c>
      <c r="AB29" s="189">
        <f>+GETPIVOTDATA("Sum of Old UG E-Learning",'Pivot Table for Fact Book'!$A$3,"State","FL","type",12,"type2","Techncial")</f>
        <v>0</v>
      </c>
      <c r="AC29" s="190">
        <f>+GETPIVOTDATA("Sum of New UG E-Learning",'Pivot Table for Fact Book'!$A$3,"State","FL","type",12,"type2","Techncial")</f>
        <v>0</v>
      </c>
      <c r="AD29" s="190">
        <f>+GETPIVOTDATA("Sum of Old UG E-Learning",'Pivot Table for Fact Book'!$A$3,"State","FL","type",13,"type2","Techncial")</f>
        <v>0</v>
      </c>
      <c r="AE29" s="190">
        <f>+GETPIVOTDATA("Sum of New UG E-Learning",'Pivot Table for Fact Book'!$A$3,"State","FL","type",13,"type2","Techncial")</f>
        <v>0</v>
      </c>
      <c r="AF29" s="194">
        <f>+GETPIVOTDATA("Sum of Old UG E-Learning",'Pivot Table for Fact Book'!$A$3,"State","FL","type2","Techncial")</f>
        <v>0</v>
      </c>
      <c r="AG29" s="194">
        <f>+GETPIVOTDATA("Sum of New UG E-Learning",'Pivot Table for Fact Book'!$A$3,"State","FL","type2","Techncial")</f>
        <v>0</v>
      </c>
    </row>
    <row r="30" spans="1:33">
      <c r="A30" s="202" t="s">
        <v>670</v>
      </c>
      <c r="B30" s="189">
        <f>GETPIVOTDATA("Sum of Old UG E-Learning",'Pivot Table for Fact Book'!$A$3,"State","GA","type",1,"Type2","Four-Year")</f>
        <v>266495</v>
      </c>
      <c r="C30" s="190">
        <f>GETPIVOTDATA("Sum of New UG E-Learning",'Pivot Table for Fact Book'!$A$3,"State","GA","type",1,"Type2","Four-Year")</f>
        <v>287891</v>
      </c>
      <c r="D30" s="189">
        <f>GETPIVOTDATA("Sum of Old UG E-Learning",'Pivot Table for Fact Book'!$A$3,"State","GA","type",2,"Type2","Four-Year")</f>
        <v>12192</v>
      </c>
      <c r="E30" s="190">
        <f>GETPIVOTDATA("Sum of New UG E-Learning",'Pivot Table for Fact Book'!$A$3,"State","GA","type",2,"Type2","Four-Year")</f>
        <v>11076</v>
      </c>
      <c r="F30" s="189">
        <f>GETPIVOTDATA("Sum of Old UG E-Learning",'Pivot Table for Fact Book'!$A$3,"State","GA","type",3,"Type2","Four-Year")</f>
        <v>503798</v>
      </c>
      <c r="G30" s="190">
        <f>GETPIVOTDATA("Sum of New UG E-Learning",'Pivot Table for Fact Book'!$A$3,"State","GA","type",3,"Type2","Four-Year")</f>
        <v>589758</v>
      </c>
      <c r="H30" s="189">
        <f>GETPIVOTDATA("Sum of Old UG E-Learning",'Pivot Table for Fact Book'!$A$3,"State","GA","type",4,"Type2","Four-Year")</f>
        <v>267981</v>
      </c>
      <c r="I30" s="190">
        <f>GETPIVOTDATA("Sum of New UG E-Learning",'Pivot Table for Fact Book'!$A$3,"State","GA","type",4,"Type2","Four-Year")</f>
        <v>294234</v>
      </c>
      <c r="J30" s="189">
        <f>GETPIVOTDATA("Sum of Old UG E-Learning",'Pivot Table for Fact Book'!$A$3,"State","GA","type",5,"Type2","Four-Year")</f>
        <v>16988</v>
      </c>
      <c r="K30" s="190">
        <f>GETPIVOTDATA("Sum of New UG E-Learning",'Pivot Table for Fact Book'!$A$3,"State","GA","type",5,"Type2","Four-Year")</f>
        <v>20081</v>
      </c>
      <c r="L30" s="189">
        <f>GETPIVOTDATA("Sum of Old UG E-Learning",'Pivot Table for Fact Book'!$A$3,"State","GA","type",6,"Type2","Four-Year")</f>
        <v>147743</v>
      </c>
      <c r="M30" s="190">
        <f>GETPIVOTDATA("Sum of New UG E-Learning",'Pivot Table for Fact Book'!$A$3,"State","GA","type",6,"Type2","Four-Year")</f>
        <v>158570</v>
      </c>
      <c r="N30" s="189">
        <f>GETPIVOTDATA("Sum of Old UG E-Learning",'Pivot Table for Fact Book'!$A$3,"State","GA","type",15,"Type2","Four-Year")</f>
        <v>0</v>
      </c>
      <c r="O30" s="190">
        <f>GETPIVOTDATA("Sum of New UG E-Learning",'Pivot Table for Fact Book'!$A$3,"State","GA","type",15,"Type2","Four-Year")</f>
        <v>0</v>
      </c>
      <c r="P30" s="191">
        <f>GETPIVOTDATA("Sum of Old UG E-Learning",'Pivot Table for Fact Book'!$A$3,"State","GA","Type2","Four-Year")</f>
        <v>1215197</v>
      </c>
      <c r="Q30" s="191">
        <f>GETPIVOTDATA("Sum of New UG E-Learning",'Pivot Table for Fact Book'!$A$3,"State","GA","Type2","Four-Year")</f>
        <v>1361610</v>
      </c>
      <c r="R30" s="189">
        <f>GETPIVOTDATA("Sum of Old UG E-Learning",'Pivot Table for Fact Book'!$A$3,"State","GA","type",7,"Type2","Two-Year")</f>
        <v>88708</v>
      </c>
      <c r="S30" s="190">
        <f>GETPIVOTDATA("Sum of New UG E-Learning",'Pivot Table for Fact Book'!$A$3,"State","GA","type",7,"Type2","Two-Year")</f>
        <v>88420</v>
      </c>
      <c r="T30" s="190">
        <f>GETPIVOTDATA("Sum of Old UG E-Learning",'Pivot Table for Fact Book'!$A$3,"State","GA","type",8,"Type2","Two-Year")</f>
        <v>0</v>
      </c>
      <c r="U30" s="190">
        <f>GETPIVOTDATA("Sum of New UG E-Learning",'Pivot Table for Fact Book'!$A$3,"State","GA","type",8,"Type2","Two-Year")</f>
        <v>0</v>
      </c>
      <c r="V30" s="190">
        <f>GETPIVOTDATA("Sum of Old UG E-Learning",'Pivot Table for Fact Book'!$A$3,"State","GA","type",9,"Type2","Two-Year")</f>
        <v>0</v>
      </c>
      <c r="W30" s="190">
        <f>GETPIVOTDATA("Sum of New UG E-Learning",'Pivot Table for Fact Book'!$A$3,"State","GA","type",9,"Type2","Two-Year")</f>
        <v>0</v>
      </c>
      <c r="X30" s="190">
        <f>GETPIVOTDATA("Sum of Old UG E-Learning",'Pivot Table for Fact Book'!$A$3,"State","GA","type",10,"Type2","Two-Year")</f>
        <v>0</v>
      </c>
      <c r="Y30" s="190">
        <f>GETPIVOTDATA("Sum of New UG E-Learning",'Pivot Table for Fact Book'!$A$3,"State","GA","type",10,"Type2","Two-Year")</f>
        <v>0</v>
      </c>
      <c r="Z30" s="192">
        <f>GETPIVOTDATA("Sum of Old UG E-Learning",'Pivot Table for Fact Book'!$A$3,"State","GA","Type2","Two-Year")</f>
        <v>88708</v>
      </c>
      <c r="AA30" s="192">
        <f>GETPIVOTDATA("Sum of New UG E-Learning",'Pivot Table for Fact Book'!$A$3,"State","GA","Type2","Two-Year")</f>
        <v>88420</v>
      </c>
      <c r="AB30" s="189">
        <f>+GETPIVOTDATA("Sum of Old UG E-Learning",'Pivot Table for Fact Book'!$A$3,"State","GA","type",12,"type2","Techncial")</f>
        <v>725058.1</v>
      </c>
      <c r="AC30" s="190">
        <f>+GETPIVOTDATA("Sum of New UG E-Learning",'Pivot Table for Fact Book'!$A$3,"State","GA","type",12,"type2","Techncial")</f>
        <v>789151.5</v>
      </c>
      <c r="AD30" s="190">
        <f>+GETPIVOTDATA("Sum of Old UG E-Learning",'Pivot Table for Fact Book'!$A$3,"State","GA","type",13,"type2","Techncial")</f>
        <v>0</v>
      </c>
      <c r="AE30" s="190">
        <f>+GETPIVOTDATA("Sum of New UG E-Learning",'Pivot Table for Fact Book'!$A$3,"State","GA","type",13,"type2","Techncial")</f>
        <v>0</v>
      </c>
      <c r="AF30" s="194">
        <f>+GETPIVOTDATA("Sum of Old UG E-Learning",'Pivot Table for Fact Book'!$A$3,"State","GA","type2","Techncial")</f>
        <v>725058.1</v>
      </c>
      <c r="AG30" s="194">
        <f>+GETPIVOTDATA("Sum of New UG E-Learning",'Pivot Table for Fact Book'!$A$3,"State","GA","type2","Techncial")</f>
        <v>789151.5</v>
      </c>
    </row>
    <row r="31" spans="1:33">
      <c r="A31" s="202" t="s">
        <v>671</v>
      </c>
      <c r="B31" s="189">
        <f>GETPIVOTDATA("Sum of Old UG E-Learning",'Pivot Table for Fact Book'!$A$3,"State","KY","type",1,"Type2","Four-Year")</f>
        <v>114863</v>
      </c>
      <c r="C31" s="190">
        <f>GETPIVOTDATA("Sum of New UG E-Learning",'Pivot Table for Fact Book'!$A$3,"State","KY","type",1,"Type2","Four-Year")</f>
        <v>124082</v>
      </c>
      <c r="D31" s="189">
        <f>GETPIVOTDATA("Sum of Old UG E-Learning",'Pivot Table for Fact Book'!$A$3,"State","KY","type",2,"Type2","Four-Year")</f>
        <v>0</v>
      </c>
      <c r="E31" s="190">
        <f>GETPIVOTDATA("Sum of New UG E-Learning",'Pivot Table for Fact Book'!$A$3,"State","KY","type",2,"Type2","Four-Year")</f>
        <v>0</v>
      </c>
      <c r="F31" s="189">
        <f>GETPIVOTDATA("Sum of Old UG E-Learning",'Pivot Table for Fact Book'!$A$3,"State","KY","type",3,"Type2","Four-Year")</f>
        <v>334952</v>
      </c>
      <c r="G31" s="190">
        <f>GETPIVOTDATA("Sum of New UG E-Learning",'Pivot Table for Fact Book'!$A$3,"State","KY","type",3,"Type2","Four-Year")</f>
        <v>338293</v>
      </c>
      <c r="H31" s="189">
        <f>GETPIVOTDATA("Sum of Old UG E-Learning",'Pivot Table for Fact Book'!$A$3,"State","KY","type",4,"Type2","Four-Year")</f>
        <v>13003</v>
      </c>
      <c r="I31" s="190">
        <f>GETPIVOTDATA("Sum of New UG E-Learning",'Pivot Table for Fact Book'!$A$3,"State","KY","type",4,"Type2","Four-Year")</f>
        <v>15844</v>
      </c>
      <c r="J31" s="189">
        <f>GETPIVOTDATA("Sum of Old UG E-Learning",'Pivot Table for Fact Book'!$A$3,"State","KY","type",5,"Type2","Four-Year")</f>
        <v>0</v>
      </c>
      <c r="K31" s="190">
        <f>GETPIVOTDATA("Sum of New UG E-Learning",'Pivot Table for Fact Book'!$A$3,"State","KY","type",5,"Type2","Four-Year")</f>
        <v>0</v>
      </c>
      <c r="L31" s="189">
        <f>GETPIVOTDATA("Sum of Old UG E-Learning",'Pivot Table for Fact Book'!$A$3,"State","KY","type",6,"Type2","Four-Year")</f>
        <v>0</v>
      </c>
      <c r="M31" s="190">
        <f>GETPIVOTDATA("Sum of New UG E-Learning",'Pivot Table for Fact Book'!$A$3,"State","KY","type",6,"Type2","Four-Year")</f>
        <v>0</v>
      </c>
      <c r="N31" s="189">
        <f>GETPIVOTDATA("Sum of Old UG E-Learning",'Pivot Table for Fact Book'!$A$3,"State","KY","type",15,"Type2","Four-Year")</f>
        <v>0</v>
      </c>
      <c r="O31" s="190">
        <f>GETPIVOTDATA("Sum of New UG E-Learning",'Pivot Table for Fact Book'!$A$3,"State","KY","type",15,"Type2","Four-Year")</f>
        <v>0</v>
      </c>
      <c r="P31" s="191">
        <f>GETPIVOTDATA("Sum of Old UG E-Learning",'Pivot Table for Fact Book'!$A$3,"State","KY","Type2","Four-Year")</f>
        <v>462818</v>
      </c>
      <c r="Q31" s="191">
        <f>GETPIVOTDATA("Sum of New UG E-Learning",'Pivot Table for Fact Book'!$A$3,"State","KY","Type2","Four-Year")</f>
        <v>478219</v>
      </c>
      <c r="R31" s="189">
        <f>GETPIVOTDATA("Sum of Old UG E-Learning",'Pivot Table for Fact Book'!$A$3,"State","KY","type",7,"Type2","Two-Year")</f>
        <v>0</v>
      </c>
      <c r="S31" s="190">
        <f>GETPIVOTDATA("Sum of New UG E-Learning",'Pivot Table for Fact Book'!$A$3,"State","KY","type",7,"Type2","Two-Year")</f>
        <v>0</v>
      </c>
      <c r="T31" s="190">
        <f>GETPIVOTDATA("Sum of Old UG E-Learning",'Pivot Table for Fact Book'!$A$3,"State","KY","type",8,"Type2","Two-Year")</f>
        <v>134765</v>
      </c>
      <c r="U31" s="190">
        <f>GETPIVOTDATA("Sum of New UG E-Learning",'Pivot Table for Fact Book'!$A$3,"State","KY","type",8,"Type2","Two-Year")</f>
        <v>137332</v>
      </c>
      <c r="V31" s="190">
        <f>GETPIVOTDATA("Sum of Old UG E-Learning",'Pivot Table for Fact Book'!$A$3,"State","KY","type",9,"Type2","Two-Year")</f>
        <v>246133</v>
      </c>
      <c r="W31" s="190">
        <f>GETPIVOTDATA("Sum of New UG E-Learning",'Pivot Table for Fact Book'!$A$3,"State","KY","type",9,"Type2","Two-Year")</f>
        <v>182651.1</v>
      </c>
      <c r="X31" s="190">
        <f>GETPIVOTDATA("Sum of Old UG E-Learning",'Pivot Table for Fact Book'!$A$3,"State","KY","type",10,"Type2","Two-Year")</f>
        <v>136373</v>
      </c>
      <c r="Y31" s="190">
        <f>GETPIVOTDATA("Sum of New UG E-Learning",'Pivot Table for Fact Book'!$A$3,"State","KY","type",10,"Type2","Two-Year")</f>
        <v>193135.8</v>
      </c>
      <c r="Z31" s="192">
        <f>GETPIVOTDATA("Sum of Old UG E-Learning",'Pivot Table for Fact Book'!$A$3,"State","KY","Type2","Two-Year")</f>
        <v>517271</v>
      </c>
      <c r="AA31" s="192">
        <f>GETPIVOTDATA("Sum of New UG E-Learning",'Pivot Table for Fact Book'!$A$3,"State","KY","Type2","Two-Year")</f>
        <v>513118.89999999997</v>
      </c>
      <c r="AB31" s="189">
        <f>+GETPIVOTDATA("Sum of Old UG E-Learning",'Pivot Table for Fact Book'!$A$3,"State","KY","type",12,"type2","Techncial")</f>
        <v>47115</v>
      </c>
      <c r="AC31" s="190">
        <f>+GETPIVOTDATA("Sum of New UG E-Learning",'Pivot Table for Fact Book'!$A$3,"State","KY","type",12,"type2","Techncial")</f>
        <v>51906</v>
      </c>
      <c r="AD31" s="190">
        <f>+GETPIVOTDATA("Sum of Old UG E-Learning",'Pivot Table for Fact Book'!$A$3,"State","KY","type",13,"type2","Techncial")</f>
        <v>0</v>
      </c>
      <c r="AE31" s="190">
        <f>+GETPIVOTDATA("Sum of New UG E-Learning",'Pivot Table for Fact Book'!$A$3,"State","KY","type",13,"type2","Techncial")</f>
        <v>0</v>
      </c>
      <c r="AF31" s="194">
        <f>+GETPIVOTDATA("Sum of Old UG E-Learning",'Pivot Table for Fact Book'!$A$3,"State","KY","type2","Techncial")</f>
        <v>47115</v>
      </c>
      <c r="AG31" s="194">
        <f>+GETPIVOTDATA("Sum of New UG E-Learning",'Pivot Table for Fact Book'!$A$3,"State","KY","type2","Techncial")</f>
        <v>51906</v>
      </c>
    </row>
    <row r="32" spans="1:33">
      <c r="A32" s="202" t="s">
        <v>672</v>
      </c>
      <c r="B32" s="189">
        <f>GETPIVOTDATA("Sum of Old UG E-Learning",'Pivot Table for Fact Book'!$A$3,"State","LA","type",1,"Type2","Four-Year")</f>
        <v>25084.6043165468</v>
      </c>
      <c r="C32" s="190">
        <f>GETPIVOTDATA("Sum of New UG E-Learning",'Pivot Table for Fact Book'!$A$3,"State","LA","type",1,"Type2","Four-Year")</f>
        <v>32239.3935815148</v>
      </c>
      <c r="D32" s="189">
        <f>GETPIVOTDATA("Sum of Old UG E-Learning",'Pivot Table for Fact Book'!$A$3,"State","LA","type",2,"Type2","Four-Year")</f>
        <v>107749.6476658301</v>
      </c>
      <c r="E32" s="190">
        <f>GETPIVOTDATA("Sum of New UG E-Learning",'Pivot Table for Fact Book'!$A$3,"State","LA","type",2,"Type2","Four-Year")</f>
        <v>114972.1198773135</v>
      </c>
      <c r="F32" s="189">
        <f>GETPIVOTDATA("Sum of Old UG E-Learning",'Pivot Table for Fact Book'!$A$3,"State","LA","type",3,"Type2","Four-Year")</f>
        <v>167076.85480734211</v>
      </c>
      <c r="G32" s="190">
        <f>GETPIVOTDATA("Sum of New UG E-Learning",'Pivot Table for Fact Book'!$A$3,"State","LA","type",3,"Type2","Four-Year")</f>
        <v>169249.91522992618</v>
      </c>
      <c r="H32" s="189">
        <f>GETPIVOTDATA("Sum of Old UG E-Learning",'Pivot Table for Fact Book'!$A$3,"State","LA","type",4,"Type2","Four-Year")</f>
        <v>158654.23979978787</v>
      </c>
      <c r="I32" s="190">
        <f>GETPIVOTDATA("Sum of New UG E-Learning",'Pivot Table for Fact Book'!$A$3,"State","LA","type",4,"Type2","Four-Year")</f>
        <v>165778.61119046458</v>
      </c>
      <c r="J32" s="189">
        <f>GETPIVOTDATA("Sum of Old UG E-Learning",'Pivot Table for Fact Book'!$A$3,"State","LA","type",5,"Type2","Four-Year")</f>
        <v>6866.7725409836103</v>
      </c>
      <c r="K32" s="190">
        <f>GETPIVOTDATA("Sum of New UG E-Learning",'Pivot Table for Fact Book'!$A$3,"State","LA","type",5,"Type2","Four-Year")</f>
        <v>14010.8125</v>
      </c>
      <c r="L32" s="189">
        <f>GETPIVOTDATA("Sum of Old UG E-Learning",'Pivot Table for Fact Book'!$A$3,"State","LA","type",6,"Type2","Four-Year")</f>
        <v>27935.301818181801</v>
      </c>
      <c r="M32" s="190">
        <f>GETPIVOTDATA("Sum of New UG E-Learning",'Pivot Table for Fact Book'!$A$3,"State","LA","type",6,"Type2","Four-Year")</f>
        <v>31302.9666430092</v>
      </c>
      <c r="N32" s="189">
        <f>GETPIVOTDATA("Sum of Old UG E-Learning",'Pivot Table for Fact Book'!$A$3,"State","LA","type",15,"Type2","Four-Year")</f>
        <v>0</v>
      </c>
      <c r="O32" s="190">
        <f>GETPIVOTDATA("Sum of New UG E-Learning",'Pivot Table for Fact Book'!$A$3,"State","LA","type",15,"Type2","Four-Year")</f>
        <v>0</v>
      </c>
      <c r="P32" s="191">
        <f>GETPIVOTDATA("Sum of Old UG E-Learning",'Pivot Table for Fact Book'!$A$3,"State","LA","Type2","Four-Year")</f>
        <v>493367.42094867228</v>
      </c>
      <c r="Q32" s="191">
        <f>GETPIVOTDATA("Sum of New UG E-Learning",'Pivot Table for Fact Book'!$A$3,"State","LA","Type2","Four-Year")</f>
        <v>527553.81902222824</v>
      </c>
      <c r="R32" s="189">
        <f>GETPIVOTDATA("Sum of Old UG E-Learning",'Pivot Table for Fact Book'!$A$3,"State","LA","type",7,"Type2","Two-Year")</f>
        <v>0</v>
      </c>
      <c r="S32" s="190">
        <f>GETPIVOTDATA("Sum of New UG E-Learning",'Pivot Table for Fact Book'!$A$3,"State","LA","type",7,"Type2","Two-Year")</f>
        <v>0</v>
      </c>
      <c r="T32" s="190">
        <f>GETPIVOTDATA("Sum of Old UG E-Learning",'Pivot Table for Fact Book'!$A$3,"State","LA","type",8,"Type2","Two-Year")</f>
        <v>80400.4229875858</v>
      </c>
      <c r="U32" s="190">
        <f>GETPIVOTDATA("Sum of New UG E-Learning",'Pivot Table for Fact Book'!$A$3,"State","LA","type",8,"Type2","Two-Year")</f>
        <v>92750.940262199903</v>
      </c>
      <c r="V32" s="190">
        <f>GETPIVOTDATA("Sum of Old UG E-Learning",'Pivot Table for Fact Book'!$A$3,"State","LA","type",9,"Type2","Two-Year")</f>
        <v>102917.94530187659</v>
      </c>
      <c r="W32" s="190">
        <f>GETPIVOTDATA("Sum of New UG E-Learning",'Pivot Table for Fact Book'!$A$3,"State","LA","type",9,"Type2","Two-Year")</f>
        <v>125060.47305814609</v>
      </c>
      <c r="X32" s="190">
        <f>GETPIVOTDATA("Sum of Old UG E-Learning",'Pivot Table for Fact Book'!$A$3,"State","LA","type",10,"Type2","Two-Year")</f>
        <v>46255.566385984035</v>
      </c>
      <c r="Y32" s="190">
        <f>GETPIVOTDATA("Sum of New UG E-Learning",'Pivot Table for Fact Book'!$A$3,"State","LA","type",10,"Type2","Two-Year")</f>
        <v>48016.242073575006</v>
      </c>
      <c r="Z32" s="192">
        <f>GETPIVOTDATA("Sum of Old UG E-Learning",'Pivot Table for Fact Book'!$A$3,"State","LA","Type2","Two-Year")</f>
        <v>229573.93467544645</v>
      </c>
      <c r="AA32" s="192">
        <f>GETPIVOTDATA("Sum of New UG E-Learning",'Pivot Table for Fact Book'!$A$3,"State","LA","Type2","Two-Year")</f>
        <v>265827.65539392101</v>
      </c>
      <c r="AB32" s="189">
        <f>+GETPIVOTDATA("Sum of Old UG E-Learning",'Pivot Table for Fact Book'!$A$3,"State","LA","type",12,"type2","Techncial")</f>
        <v>47045.246765715878</v>
      </c>
      <c r="AC32" s="190">
        <f>+GETPIVOTDATA("Sum of New UG E-Learning",'Pivot Table for Fact Book'!$A$3,"State","LA","type",12,"type2","Techncial")</f>
        <v>52180.760199255834</v>
      </c>
      <c r="AD32" s="190">
        <f>+GETPIVOTDATA("Sum of Old UG E-Learning",'Pivot Table for Fact Book'!$A$3,"State","LA","type",13,"type2","Techncial")</f>
        <v>22.550290135396502</v>
      </c>
      <c r="AE32" s="190">
        <f>+GETPIVOTDATA("Sum of New UG E-Learning",'Pivot Table for Fact Book'!$A$3,"State","LA","type",13,"type2","Techncial")</f>
        <v>149.502024291498</v>
      </c>
      <c r="AF32" s="194">
        <f>+GETPIVOTDATA("Sum of Old UG E-Learning",'Pivot Table for Fact Book'!$A$3,"State","LA","type2","Techncial")</f>
        <v>47067.797055851275</v>
      </c>
      <c r="AG32" s="194">
        <f>+GETPIVOTDATA("Sum of New UG E-Learning",'Pivot Table for Fact Book'!$A$3,"State","LA","type2","Techncial")</f>
        <v>52330.262223547332</v>
      </c>
    </row>
    <row r="33" spans="1:33">
      <c r="A33" s="202" t="s">
        <v>673</v>
      </c>
      <c r="B33" s="189">
        <f>GETPIVOTDATA("Sum of Old UG E-Learning",'Pivot Table for Fact Book'!$A$3,"State","MD","type",1,"Type2","Four-Year")</f>
        <v>40504</v>
      </c>
      <c r="C33" s="190">
        <f>GETPIVOTDATA("Sum of New UG E-Learning",'Pivot Table for Fact Book'!$A$3,"State","MD","type",1,"Type2","Four-Year")</f>
        <v>48326</v>
      </c>
      <c r="D33" s="189">
        <f>GETPIVOTDATA("Sum of Old UG E-Learning",'Pivot Table for Fact Book'!$A$3,"State","MD","type",2,"Type2","Four-Year")</f>
        <v>56680</v>
      </c>
      <c r="E33" s="190">
        <f>GETPIVOTDATA("Sum of New UG E-Learning",'Pivot Table for Fact Book'!$A$3,"State","MD","type",2,"Type2","Four-Year")</f>
        <v>66245</v>
      </c>
      <c r="F33" s="189">
        <f>GETPIVOTDATA("Sum of Old UG E-Learning",'Pivot Table for Fact Book'!$A$3,"State","MD","type",3,"Type2","Four-Year")</f>
        <v>76954</v>
      </c>
      <c r="G33" s="190">
        <f>GETPIVOTDATA("Sum of New UG E-Learning",'Pivot Table for Fact Book'!$A$3,"State","MD","type",3,"Type2","Four-Year")</f>
        <v>81730</v>
      </c>
      <c r="H33" s="189">
        <f>GETPIVOTDATA("Sum of Old UG E-Learning",'Pivot Table for Fact Book'!$A$3,"State","MD","type",4,"Type2","Four-Year")</f>
        <v>100101</v>
      </c>
      <c r="I33" s="190">
        <f>GETPIVOTDATA("Sum of New UG E-Learning",'Pivot Table for Fact Book'!$A$3,"State","MD","type",4,"Type2","Four-Year")</f>
        <v>102422</v>
      </c>
      <c r="J33" s="189">
        <f>GETPIVOTDATA("Sum of Old UG E-Learning",'Pivot Table for Fact Book'!$A$3,"State","MD","type",5,"Type2","Four-Year")</f>
        <v>13074</v>
      </c>
      <c r="K33" s="190">
        <f>GETPIVOTDATA("Sum of New UG E-Learning",'Pivot Table for Fact Book'!$A$3,"State","MD","type",5,"Type2","Four-Year")</f>
        <v>12184</v>
      </c>
      <c r="L33" s="189">
        <f>GETPIVOTDATA("Sum of Old UG E-Learning",'Pivot Table for Fact Book'!$A$3,"State","MD","type",6,"Type2","Four-Year")</f>
        <v>72</v>
      </c>
      <c r="M33" s="190">
        <f>GETPIVOTDATA("Sum of New UG E-Learning",'Pivot Table for Fact Book'!$A$3,"State","MD","type",6,"Type2","Four-Year")</f>
        <v>232</v>
      </c>
      <c r="N33" s="189">
        <f>GETPIVOTDATA("Sum of Old UG E-Learning",'Pivot Table for Fact Book'!$A$3,"State","MD","type",15,"Type2","Four-Year")</f>
        <v>784493.5</v>
      </c>
      <c r="O33" s="190">
        <f>GETPIVOTDATA("Sum of New UG E-Learning",'Pivot Table for Fact Book'!$A$3,"State","MD","type",15,"Type2","Four-Year")</f>
        <v>779478.5</v>
      </c>
      <c r="P33" s="191">
        <f>GETPIVOTDATA("Sum of Old UG E-Learning",'Pivot Table for Fact Book'!$A$3,"State","MD","Type2","Four-Year")</f>
        <v>1071878.5</v>
      </c>
      <c r="Q33" s="191">
        <f>GETPIVOTDATA("Sum of New UG E-Learning",'Pivot Table for Fact Book'!$A$3,"State","MD","Type2","Four-Year")</f>
        <v>1090617.5</v>
      </c>
      <c r="R33" s="189">
        <f>GETPIVOTDATA("Sum of Old UG E-Learning",'Pivot Table for Fact Book'!$A$3,"State","MD","type",7,"Type2","Two-Year")</f>
        <v>0</v>
      </c>
      <c r="S33" s="190">
        <f>GETPIVOTDATA("Sum of New UG E-Learning",'Pivot Table for Fact Book'!$A$3,"State","MD","type",7,"Type2","Two-Year")</f>
        <v>0</v>
      </c>
      <c r="T33" s="190">
        <f>GETPIVOTDATA("Sum of Old UG E-Learning",'Pivot Table for Fact Book'!$A$3,"State","MD","type",8,"Type2","Two-Year")</f>
        <v>306099</v>
      </c>
      <c r="U33" s="190">
        <f>GETPIVOTDATA("Sum of New UG E-Learning",'Pivot Table for Fact Book'!$A$3,"State","MD","type",8,"Type2","Two-Year")</f>
        <v>318610.7</v>
      </c>
      <c r="V33" s="190">
        <f>GETPIVOTDATA("Sum of Old UG E-Learning",'Pivot Table for Fact Book'!$A$3,"State","MD","type",9,"Type2","Two-Year")</f>
        <v>163633</v>
      </c>
      <c r="W33" s="190">
        <f>GETPIVOTDATA("Sum of New UG E-Learning",'Pivot Table for Fact Book'!$A$3,"State","MD","type",9,"Type2","Two-Year")</f>
        <v>168329</v>
      </c>
      <c r="X33" s="190">
        <f>GETPIVOTDATA("Sum of Old UG E-Learning",'Pivot Table for Fact Book'!$A$3,"State","MD","type",10,"Type2","Two-Year")</f>
        <v>47790</v>
      </c>
      <c r="Y33" s="190">
        <f>GETPIVOTDATA("Sum of New UG E-Learning",'Pivot Table for Fact Book'!$A$3,"State","MD","type",10,"Type2","Two-Year")</f>
        <v>50671</v>
      </c>
      <c r="Z33" s="192">
        <f>GETPIVOTDATA("Sum of Old UG E-Learning",'Pivot Table for Fact Book'!$A$3,"State","MD","Type2","Two-Year")</f>
        <v>517522</v>
      </c>
      <c r="AA33" s="192">
        <f>GETPIVOTDATA("Sum of New UG E-Learning",'Pivot Table for Fact Book'!$A$3,"State","MD","Type2","Two-Year")</f>
        <v>537610.69999999995</v>
      </c>
      <c r="AB33" s="189">
        <f>+GETPIVOTDATA("Sum of Old UG E-Learning",'Pivot Table for Fact Book'!$A$3,"State","MD","type",12,"type2","Techncial")</f>
        <v>0</v>
      </c>
      <c r="AC33" s="190">
        <f>+GETPIVOTDATA("Sum of New UG E-Learning",'Pivot Table for Fact Book'!$A$3,"State","MD","type",12,"type2","Techncial")</f>
        <v>0</v>
      </c>
      <c r="AD33" s="190">
        <f>+GETPIVOTDATA("Sum of Old UG E-Learning",'Pivot Table for Fact Book'!$A$3,"State","MD","type",13,"type2","Techncial")</f>
        <v>0</v>
      </c>
      <c r="AE33" s="190">
        <f>+GETPIVOTDATA("Sum of New UG E-Learning",'Pivot Table for Fact Book'!$A$3,"State","MD","type",13,"type2","Techncial")</f>
        <v>0</v>
      </c>
      <c r="AF33" s="194">
        <f>+GETPIVOTDATA("Sum of Old UG E-Learning",'Pivot Table for Fact Book'!$A$3,"State","MD","type2","Techncial")</f>
        <v>0</v>
      </c>
      <c r="AG33" s="194">
        <f>+GETPIVOTDATA("Sum of New UG E-Learning",'Pivot Table for Fact Book'!$A$3,"State","MD","type2","Techncial")</f>
        <v>0</v>
      </c>
    </row>
    <row r="34" spans="1:33">
      <c r="A34" s="202" t="s">
        <v>674</v>
      </c>
      <c r="B34" s="189">
        <f>GETPIVOTDATA("Sum of Old UG E-Learning",'Pivot Table for Fact Book'!$A$3,"State","MS","type",1,"Type2","Four-Year")</f>
        <v>210506</v>
      </c>
      <c r="C34" s="190">
        <f>GETPIVOTDATA("Sum of New UG E-Learning",'Pivot Table for Fact Book'!$A$3,"State","MS","type",1,"Type2","Four-Year")</f>
        <v>237800</v>
      </c>
      <c r="D34" s="189">
        <f>GETPIVOTDATA("Sum of Old UG E-Learning",'Pivot Table for Fact Book'!$A$3,"State","MS","type",2,"Type2","Four-Year")</f>
        <v>46735</v>
      </c>
      <c r="E34" s="190">
        <f>GETPIVOTDATA("Sum of New UG E-Learning",'Pivot Table for Fact Book'!$A$3,"State","MS","type",2,"Type2","Four-Year")</f>
        <v>46156</v>
      </c>
      <c r="F34" s="189">
        <f>GETPIVOTDATA("Sum of Old UG E-Learning",'Pivot Table for Fact Book'!$A$3,"State","MS","type",3,"Type2","Four-Year")</f>
        <v>0</v>
      </c>
      <c r="G34" s="190">
        <f>GETPIVOTDATA("Sum of New UG E-Learning",'Pivot Table for Fact Book'!$A$3,"State","MS","type",3,"Type2","Four-Year")</f>
        <v>0</v>
      </c>
      <c r="H34" s="189">
        <f>GETPIVOTDATA("Sum of Old UG E-Learning",'Pivot Table for Fact Book'!$A$3,"State","MS","type",4,"Type2","Four-Year")</f>
        <v>90365</v>
      </c>
      <c r="I34" s="190">
        <f>GETPIVOTDATA("Sum of New UG E-Learning",'Pivot Table for Fact Book'!$A$3,"State","MS","type",4,"Type2","Four-Year")</f>
        <v>102058</v>
      </c>
      <c r="J34" s="189">
        <f>GETPIVOTDATA("Sum of Old UG E-Learning",'Pivot Table for Fact Book'!$A$3,"State","MS","type",5,"Type2","Four-Year")</f>
        <v>0</v>
      </c>
      <c r="K34" s="190">
        <f>GETPIVOTDATA("Sum of New UG E-Learning",'Pivot Table for Fact Book'!$A$3,"State","MS","type",5,"Type2","Four-Year")</f>
        <v>0</v>
      </c>
      <c r="L34" s="189">
        <f>GETPIVOTDATA("Sum of Old UG E-Learning",'Pivot Table for Fact Book'!$A$3,"State","MS","type",6,"Type2","Four-Year")</f>
        <v>0</v>
      </c>
      <c r="M34" s="190">
        <f>GETPIVOTDATA("Sum of New UG E-Learning",'Pivot Table for Fact Book'!$A$3,"State","MS","type",6,"Type2","Four-Year")</f>
        <v>0</v>
      </c>
      <c r="N34" s="189">
        <f>GETPIVOTDATA("Sum of Old UG E-Learning",'Pivot Table for Fact Book'!$A$3,"State","MS","type",15,"Type2","Four-Year")</f>
        <v>0</v>
      </c>
      <c r="O34" s="190">
        <f>GETPIVOTDATA("Sum of New UG E-Learning",'Pivot Table for Fact Book'!$A$3,"State","MS","type",15,"Type2","Four-Year")</f>
        <v>0</v>
      </c>
      <c r="P34" s="191">
        <f>GETPIVOTDATA("Sum of Old UG E-Learning",'Pivot Table for Fact Book'!$A$3,"State","MS","Type2","Four-Year")</f>
        <v>347606</v>
      </c>
      <c r="Q34" s="191">
        <f>GETPIVOTDATA("Sum of New UG E-Learning",'Pivot Table for Fact Book'!$A$3,"State","MS","Type2","Four-Year")</f>
        <v>386014</v>
      </c>
      <c r="R34" s="189">
        <f>GETPIVOTDATA("Sum of Old UG E-Learning",'Pivot Table for Fact Book'!$A$3,"State","MS","type",7,"Type2","Two-Year")</f>
        <v>0</v>
      </c>
      <c r="S34" s="190">
        <f>GETPIVOTDATA("Sum of New UG E-Learning",'Pivot Table for Fact Book'!$A$3,"State","MS","type",7,"Type2","Two-Year")</f>
        <v>0</v>
      </c>
      <c r="T34" s="190">
        <f>GETPIVOTDATA("Sum of Old UG E-Learning",'Pivot Table for Fact Book'!$A$3,"State","MS","type",8,"Type2","Two-Year")</f>
        <v>235303</v>
      </c>
      <c r="U34" s="190">
        <f>GETPIVOTDATA("Sum of New UG E-Learning",'Pivot Table for Fact Book'!$A$3,"State","MS","type",8,"Type2","Two-Year")</f>
        <v>0</v>
      </c>
      <c r="V34" s="190">
        <f>GETPIVOTDATA("Sum of Old UG E-Learning",'Pivot Table for Fact Book'!$A$3,"State","MS","type",9,"Type2","Two-Year")</f>
        <v>247189</v>
      </c>
      <c r="W34" s="190">
        <f>GETPIVOTDATA("Sum of New UG E-Learning",'Pivot Table for Fact Book'!$A$3,"State","MS","type",9,"Type2","Two-Year")</f>
        <v>0</v>
      </c>
      <c r="X34" s="190">
        <f>GETPIVOTDATA("Sum of Old UG E-Learning",'Pivot Table for Fact Book'!$A$3,"State","MS","type",10,"Type2","Two-Year")</f>
        <v>25806</v>
      </c>
      <c r="Y34" s="190">
        <f>GETPIVOTDATA("Sum of New UG E-Learning",'Pivot Table for Fact Book'!$A$3,"State","MS","type",10,"Type2","Two-Year")</f>
        <v>0</v>
      </c>
      <c r="Z34" s="192">
        <f>GETPIVOTDATA("Sum of Old UG E-Learning",'Pivot Table for Fact Book'!$A$3,"State","MS","Type2","Two-Year")</f>
        <v>508298</v>
      </c>
      <c r="AA34" s="192">
        <f>GETPIVOTDATA("Sum of New UG E-Learning",'Pivot Table for Fact Book'!$A$3,"State","MS","Type2","Two-Year")</f>
        <v>0</v>
      </c>
      <c r="AB34" s="189">
        <f>+GETPIVOTDATA("Sum of Old UG E-Learning",'Pivot Table for Fact Book'!$A$3,"State","MS","type",12,"type2","Techncial")</f>
        <v>0</v>
      </c>
      <c r="AC34" s="190">
        <f>+GETPIVOTDATA("Sum of New UG E-Learning",'Pivot Table for Fact Book'!$A$3,"State","MS","type",12,"type2","Techncial")</f>
        <v>0</v>
      </c>
      <c r="AD34" s="190">
        <f>+GETPIVOTDATA("Sum of Old UG E-Learning",'Pivot Table for Fact Book'!$A$3,"State","MS","type",13,"type2","Techncial")</f>
        <v>0</v>
      </c>
      <c r="AE34" s="190">
        <f>+GETPIVOTDATA("Sum of New UG E-Learning",'Pivot Table for Fact Book'!$A$3,"State","MS","type",13,"type2","Techncial")</f>
        <v>0</v>
      </c>
      <c r="AF34" s="194">
        <f>+GETPIVOTDATA("Sum of Old UG E-Learning",'Pivot Table for Fact Book'!$A$3,"State","MS","type2","Techncial")</f>
        <v>0</v>
      </c>
      <c r="AG34" s="194">
        <f>+GETPIVOTDATA("Sum of New UG E-Learning",'Pivot Table for Fact Book'!$A$3,"State","MS","type2","Techncial")</f>
        <v>0</v>
      </c>
    </row>
    <row r="35" spans="1:33">
      <c r="A35" s="202" t="s">
        <v>675</v>
      </c>
      <c r="B35" s="189">
        <f>GETPIVOTDATA("Sum of Old UG E-Learning",'Pivot Table for Fact Book'!$A$3,"State","NC","type",1,"Type2","Four-Year")</f>
        <v>342096</v>
      </c>
      <c r="C35" s="190">
        <f>GETPIVOTDATA("Sum of New UG E-Learning",'Pivot Table for Fact Book'!$A$3,"State","NC","type",1,"Type2","Four-Year")</f>
        <v>362299</v>
      </c>
      <c r="D35" s="189">
        <f>GETPIVOTDATA("Sum of Old UG E-Learning",'Pivot Table for Fact Book'!$A$3,"State","NC","type",2,"Type2","Four-Year")</f>
        <v>140534</v>
      </c>
      <c r="E35" s="190">
        <f>GETPIVOTDATA("Sum of New UG E-Learning",'Pivot Table for Fact Book'!$A$3,"State","NC","type",2,"Type2","Four-Year")</f>
        <v>148939</v>
      </c>
      <c r="F35" s="189">
        <f>GETPIVOTDATA("Sum of Old UG E-Learning",'Pivot Table for Fact Book'!$A$3,"State","NC","type",3,"Type2","Four-Year")</f>
        <v>281705</v>
      </c>
      <c r="G35" s="190">
        <f>GETPIVOTDATA("Sum of New UG E-Learning",'Pivot Table for Fact Book'!$A$3,"State","NC","type",3,"Type2","Four-Year")</f>
        <v>308411</v>
      </c>
      <c r="H35" s="189">
        <f>GETPIVOTDATA("Sum of Old UG E-Learning",'Pivot Table for Fact Book'!$A$3,"State","NC","type",4,"Type2","Four-Year")</f>
        <v>56361</v>
      </c>
      <c r="I35" s="190">
        <f>GETPIVOTDATA("Sum of New UG E-Learning",'Pivot Table for Fact Book'!$A$3,"State","NC","type",4,"Type2","Four-Year")</f>
        <v>67489</v>
      </c>
      <c r="J35" s="189">
        <f>GETPIVOTDATA("Sum of Old UG E-Learning",'Pivot Table for Fact Book'!$A$3,"State","NC","type",5,"Type2","Four-Year")</f>
        <v>75764</v>
      </c>
      <c r="K35" s="190">
        <f>GETPIVOTDATA("Sum of New UG E-Learning",'Pivot Table for Fact Book'!$A$3,"State","NC","type",5,"Type2","Four-Year")</f>
        <v>88540</v>
      </c>
      <c r="L35" s="189">
        <f>GETPIVOTDATA("Sum of Old UG E-Learning",'Pivot Table for Fact Book'!$A$3,"State","NC","type",6,"Type2","Four-Year")</f>
        <v>10478</v>
      </c>
      <c r="M35" s="190">
        <f>GETPIVOTDATA("Sum of New UG E-Learning",'Pivot Table for Fact Book'!$A$3,"State","NC","type",6,"Type2","Four-Year")</f>
        <v>12820</v>
      </c>
      <c r="N35" s="189">
        <f>GETPIVOTDATA("Sum of Old UG E-Learning",'Pivot Table for Fact Book'!$A$3,"State","NC","type",15,"Type2","Four-Year")</f>
        <v>849</v>
      </c>
      <c r="O35" s="190">
        <f>GETPIVOTDATA("Sum of New UG E-Learning",'Pivot Table for Fact Book'!$A$3,"State","NC","type",15,"Type2","Four-Year")</f>
        <v>708</v>
      </c>
      <c r="P35" s="191">
        <f>GETPIVOTDATA("Sum of Old UG E-Learning",'Pivot Table for Fact Book'!$A$3,"State","NC","Type2","Four-Year")</f>
        <v>907787</v>
      </c>
      <c r="Q35" s="191">
        <f>GETPIVOTDATA("Sum of New UG E-Learning",'Pivot Table for Fact Book'!$A$3,"State","NC","Type2","Four-Year")</f>
        <v>989206</v>
      </c>
      <c r="R35" s="189">
        <f>GETPIVOTDATA("Sum of Old UG E-Learning",'Pivot Table for Fact Book'!$A$3,"State","NC","type",7,"Type2","Two-Year")</f>
        <v>0</v>
      </c>
      <c r="S35" s="190">
        <f>GETPIVOTDATA("Sum of New UG E-Learning",'Pivot Table for Fact Book'!$A$3,"State","NC","type",7,"Type2","Two-Year")</f>
        <v>0</v>
      </c>
      <c r="T35" s="190">
        <f>GETPIVOTDATA("Sum of Old UG E-Learning",'Pivot Table for Fact Book'!$A$3,"State","NC","type",8,"Type2","Two-Year")</f>
        <v>922965</v>
      </c>
      <c r="U35" s="190">
        <f>GETPIVOTDATA("Sum of New UG E-Learning",'Pivot Table for Fact Book'!$A$3,"State","NC","type",8,"Type2","Two-Year")</f>
        <v>921919</v>
      </c>
      <c r="V35" s="190">
        <f>GETPIVOTDATA("Sum of Old UG E-Learning",'Pivot Table for Fact Book'!$A$3,"State","NC","type",9,"Type2","Two-Year")</f>
        <v>819645</v>
      </c>
      <c r="W35" s="190">
        <f>GETPIVOTDATA("Sum of New UG E-Learning",'Pivot Table for Fact Book'!$A$3,"State","NC","type",9,"Type2","Two-Year")</f>
        <v>756416.5</v>
      </c>
      <c r="X35" s="190">
        <f>GETPIVOTDATA("Sum of Old UG E-Learning",'Pivot Table for Fact Book'!$A$3,"State","NC","type",10,"Type2","Two-Year")</f>
        <v>400730</v>
      </c>
      <c r="Y35" s="190">
        <f>GETPIVOTDATA("Sum of New UG E-Learning",'Pivot Table for Fact Book'!$A$3,"State","NC","type",10,"Type2","Two-Year")</f>
        <v>397983</v>
      </c>
      <c r="Z35" s="192">
        <f>GETPIVOTDATA("Sum of Old UG E-Learning",'Pivot Table for Fact Book'!$A$3,"State","NC","Type2","Two-Year")</f>
        <v>2143340</v>
      </c>
      <c r="AA35" s="192">
        <f>GETPIVOTDATA("Sum of New UG E-Learning",'Pivot Table for Fact Book'!$A$3,"State","NC","Type2","Two-Year")</f>
        <v>2076318.5</v>
      </c>
      <c r="AB35" s="189">
        <f>+GETPIVOTDATA("Sum of Old UG E-Learning",'Pivot Table for Fact Book'!$A$3,"State","NC","type",12,"type2","Techncial")</f>
        <v>0</v>
      </c>
      <c r="AC35" s="190">
        <f>+GETPIVOTDATA("Sum of New UG E-Learning",'Pivot Table for Fact Book'!$A$3,"State","NC","type",12,"type2","Techncial")</f>
        <v>0</v>
      </c>
      <c r="AD35" s="190">
        <f>+GETPIVOTDATA("Sum of Old UG E-Learning",'Pivot Table for Fact Book'!$A$3,"State","NC","type",13,"type2","Techncial")</f>
        <v>0</v>
      </c>
      <c r="AE35" s="190">
        <f>+GETPIVOTDATA("Sum of New UG E-Learning",'Pivot Table for Fact Book'!$A$3,"State","NC","type",13,"type2","Techncial")</f>
        <v>0</v>
      </c>
      <c r="AF35" s="194">
        <f>+GETPIVOTDATA("Sum of Old UG E-Learning",'Pivot Table for Fact Book'!$A$3,"State","NC","type2","Techncial")</f>
        <v>0</v>
      </c>
      <c r="AG35" s="194">
        <f>+GETPIVOTDATA("Sum of New UG E-Learning",'Pivot Table for Fact Book'!$A$3,"State","NC","type2","Techncial")</f>
        <v>0</v>
      </c>
    </row>
    <row r="36" spans="1:33">
      <c r="A36" s="202" t="s">
        <v>676</v>
      </c>
      <c r="B36" s="189">
        <f>GETPIVOTDATA("Sum of Old UG E-Learning",'Pivot Table for Fact Book'!$A$3,"State","OK","type",1,"Type2","Four-Year")</f>
        <v>174079</v>
      </c>
      <c r="C36" s="190">
        <f>GETPIVOTDATA("Sum of New UG E-Learning",'Pivot Table for Fact Book'!$A$3,"State","OK","type",1,"Type2","Four-Year")</f>
        <v>186122</v>
      </c>
      <c r="D36" s="189">
        <f>GETPIVOTDATA("Sum of Old UG E-Learning",'Pivot Table for Fact Book'!$A$3,"State","OK","type",2,"Type2","Four-Year")</f>
        <v>0</v>
      </c>
      <c r="E36" s="190">
        <f>GETPIVOTDATA("Sum of New UG E-Learning",'Pivot Table for Fact Book'!$A$3,"State","OK","type",2,"Type2","Four-Year")</f>
        <v>0</v>
      </c>
      <c r="F36" s="189">
        <f>GETPIVOTDATA("Sum of Old UG E-Learning",'Pivot Table for Fact Book'!$A$3,"State","OK","type",3,"Type2","Four-Year")</f>
        <v>132910</v>
      </c>
      <c r="G36" s="190">
        <f>GETPIVOTDATA("Sum of New UG E-Learning",'Pivot Table for Fact Book'!$A$3,"State","OK","type",3,"Type2","Four-Year")</f>
        <v>139541</v>
      </c>
      <c r="H36" s="189">
        <f>GETPIVOTDATA("Sum of Old UG E-Learning",'Pivot Table for Fact Book'!$A$3,"State","OK","type",4,"Type2","Four-Year")</f>
        <v>66548</v>
      </c>
      <c r="I36" s="190">
        <f>GETPIVOTDATA("Sum of New UG E-Learning",'Pivot Table for Fact Book'!$A$3,"State","OK","type",4,"Type2","Four-Year")</f>
        <v>66712</v>
      </c>
      <c r="J36" s="189">
        <f>GETPIVOTDATA("Sum of Old UG E-Learning",'Pivot Table for Fact Book'!$A$3,"State","OK","type",5,"Type2","Four-Year")</f>
        <v>72416</v>
      </c>
      <c r="K36" s="190">
        <f>GETPIVOTDATA("Sum of New UG E-Learning",'Pivot Table for Fact Book'!$A$3,"State","OK","type",5,"Type2","Four-Year")</f>
        <v>72395</v>
      </c>
      <c r="L36" s="189">
        <f>GETPIVOTDATA("Sum of Old UG E-Learning",'Pivot Table for Fact Book'!$A$3,"State","OK","type",6,"Type2","Four-Year")</f>
        <v>35831</v>
      </c>
      <c r="M36" s="190">
        <f>GETPIVOTDATA("Sum of New UG E-Learning",'Pivot Table for Fact Book'!$A$3,"State","OK","type",6,"Type2","Four-Year")</f>
        <v>38026</v>
      </c>
      <c r="N36" s="189">
        <f>GETPIVOTDATA("Sum of Old UG E-Learning",'Pivot Table for Fact Book'!$A$3,"State","OK","type",15,"Type2","Four-Year")</f>
        <v>0</v>
      </c>
      <c r="O36" s="190">
        <f>GETPIVOTDATA("Sum of New UG E-Learning",'Pivot Table for Fact Book'!$A$3,"State","OK","type",15,"Type2","Four-Year")</f>
        <v>0</v>
      </c>
      <c r="P36" s="191">
        <f>GETPIVOTDATA("Sum of Old UG E-Learning",'Pivot Table for Fact Book'!$A$3,"State","OK","Type2","Four-Year")</f>
        <v>481784</v>
      </c>
      <c r="Q36" s="191">
        <f>GETPIVOTDATA("Sum of New UG E-Learning",'Pivot Table for Fact Book'!$A$3,"State","OK","Type2","Four-Year")</f>
        <v>502796</v>
      </c>
      <c r="R36" s="189">
        <f>GETPIVOTDATA("Sum of Old UG E-Learning",'Pivot Table for Fact Book'!$A$3,"State","OK","type",7,"Type2","Two-Year")</f>
        <v>67977</v>
      </c>
      <c r="S36" s="190">
        <f>GETPIVOTDATA("Sum of New UG E-Learning",'Pivot Table for Fact Book'!$A$3,"State","OK","type",7,"Type2","Two-Year")</f>
        <v>67675</v>
      </c>
      <c r="T36" s="190">
        <f>GETPIVOTDATA("Sum of Old UG E-Learning",'Pivot Table for Fact Book'!$A$3,"State","OK","type",8,"Type2","Two-Year")</f>
        <v>144144</v>
      </c>
      <c r="U36" s="190">
        <f>GETPIVOTDATA("Sum of New UG E-Learning",'Pivot Table for Fact Book'!$A$3,"State","OK","type",8,"Type2","Two-Year")</f>
        <v>137066</v>
      </c>
      <c r="V36" s="190">
        <f>GETPIVOTDATA("Sum of Old UG E-Learning",'Pivot Table for Fact Book'!$A$3,"State","OK","type",9,"Type2","Two-Year")</f>
        <v>66107</v>
      </c>
      <c r="W36" s="190">
        <f>GETPIVOTDATA("Sum of New UG E-Learning",'Pivot Table for Fact Book'!$A$3,"State","OK","type",9,"Type2","Two-Year")</f>
        <v>65683</v>
      </c>
      <c r="X36" s="190">
        <f>GETPIVOTDATA("Sum of Old UG E-Learning",'Pivot Table for Fact Book'!$A$3,"State","OK","type",10,"Type2","Two-Year")</f>
        <v>101849</v>
      </c>
      <c r="Y36" s="190">
        <f>GETPIVOTDATA("Sum of New UG E-Learning",'Pivot Table for Fact Book'!$A$3,"State","OK","type",10,"Type2","Two-Year")</f>
        <v>101383</v>
      </c>
      <c r="Z36" s="192">
        <f>GETPIVOTDATA("Sum of Old UG E-Learning",'Pivot Table for Fact Book'!$A$3,"State","OK","Type2","Two-Year")</f>
        <v>380077</v>
      </c>
      <c r="AA36" s="192">
        <f>GETPIVOTDATA("Sum of New UG E-Learning",'Pivot Table for Fact Book'!$A$3,"State","OK","Type2","Two-Year")</f>
        <v>371807</v>
      </c>
      <c r="AB36" s="189">
        <f>+GETPIVOTDATA("Sum of Old UG E-Learning",'Pivot Table for Fact Book'!$A$3,"State","OK","type",12,"type2","Techncial")</f>
        <v>0</v>
      </c>
      <c r="AC36" s="190">
        <f>+GETPIVOTDATA("Sum of New UG E-Learning",'Pivot Table for Fact Book'!$A$3,"State","OK","type",12,"type2","Techncial")</f>
        <v>0</v>
      </c>
      <c r="AD36" s="190">
        <f>+GETPIVOTDATA("Sum of Old UG E-Learning",'Pivot Table for Fact Book'!$A$3,"State","OK","type",13,"type2","Techncial")</f>
        <v>0</v>
      </c>
      <c r="AE36" s="190">
        <f>+GETPIVOTDATA("Sum of New UG E-Learning",'Pivot Table for Fact Book'!$A$3,"State","OK","type",13,"type2","Techncial")</f>
        <v>0</v>
      </c>
      <c r="AF36" s="194">
        <f>+GETPIVOTDATA("Sum of Old UG E-Learning",'Pivot Table for Fact Book'!$A$3,"State","OK","type2","Techncial")</f>
        <v>0</v>
      </c>
      <c r="AG36" s="194">
        <f>+GETPIVOTDATA("Sum of New UG E-Learning",'Pivot Table for Fact Book'!$A$3,"State","OK","type2","Techncial")</f>
        <v>0</v>
      </c>
    </row>
    <row r="37" spans="1:33">
      <c r="A37" s="202" t="s">
        <v>677</v>
      </c>
      <c r="B37" s="189">
        <f>GETPIVOTDATA("Sum of Old UG E-Learning",'Pivot Table for Fact Book'!$A$3,"State","SC","type",1,"Type2","Four-Year")</f>
        <v>146397</v>
      </c>
      <c r="C37" s="190">
        <f>GETPIVOTDATA("Sum of New UG E-Learning",'Pivot Table for Fact Book'!$A$3,"State","SC","type",1,"Type2","Four-Year")</f>
        <v>164075</v>
      </c>
      <c r="D37" s="189">
        <f>GETPIVOTDATA("Sum of Old UG E-Learning",'Pivot Table for Fact Book'!$A$3,"State","SC","type",2,"Type2","Four-Year")</f>
        <v>0</v>
      </c>
      <c r="E37" s="190">
        <f>GETPIVOTDATA("Sum of New UG E-Learning",'Pivot Table for Fact Book'!$A$3,"State","SC","type",2,"Type2","Four-Year")</f>
        <v>0</v>
      </c>
      <c r="F37" s="189">
        <f>GETPIVOTDATA("Sum of Old UG E-Learning",'Pivot Table for Fact Book'!$A$3,"State","SC","type",3,"Type2","Four-Year")</f>
        <v>42374</v>
      </c>
      <c r="G37" s="190">
        <f>GETPIVOTDATA("Sum of New UG E-Learning",'Pivot Table for Fact Book'!$A$3,"State","SC","type",3,"Type2","Four-Year")</f>
        <v>51747.5</v>
      </c>
      <c r="H37" s="189">
        <f>GETPIVOTDATA("Sum of Old UG E-Learning",'Pivot Table for Fact Book'!$A$3,"State","SC","type",4,"Type2","Four-Year")</f>
        <v>50683</v>
      </c>
      <c r="I37" s="190">
        <f>GETPIVOTDATA("Sum of New UG E-Learning",'Pivot Table for Fact Book'!$A$3,"State","SC","type",4,"Type2","Four-Year")</f>
        <v>54084</v>
      </c>
      <c r="J37" s="189">
        <f>GETPIVOTDATA("Sum of Old UG E-Learning",'Pivot Table for Fact Book'!$A$3,"State","SC","type",5,"Type2","Four-Year")</f>
        <v>12738</v>
      </c>
      <c r="K37" s="190">
        <f>GETPIVOTDATA("Sum of New UG E-Learning",'Pivot Table for Fact Book'!$A$3,"State","SC","type",5,"Type2","Four-Year")</f>
        <v>16204</v>
      </c>
      <c r="L37" s="189">
        <f>GETPIVOTDATA("Sum of Old UG E-Learning",'Pivot Table for Fact Book'!$A$3,"State","SC","type",6,"Type2","Four-Year")</f>
        <v>82876</v>
      </c>
      <c r="M37" s="190">
        <f>GETPIVOTDATA("Sum of New UG E-Learning",'Pivot Table for Fact Book'!$A$3,"State","SC","type",6,"Type2","Four-Year")</f>
        <v>84529</v>
      </c>
      <c r="N37" s="189">
        <f>GETPIVOTDATA("Sum of Old UG E-Learning",'Pivot Table for Fact Book'!$A$3,"State","SC","type",15,"Type2","Four-Year")</f>
        <v>0</v>
      </c>
      <c r="O37" s="190">
        <f>GETPIVOTDATA("Sum of New UG E-Learning",'Pivot Table for Fact Book'!$A$3,"State","SC","type",15,"Type2","Four-Year")</f>
        <v>0</v>
      </c>
      <c r="P37" s="191">
        <f>GETPIVOTDATA("Sum of Old UG E-Learning",'Pivot Table for Fact Book'!$A$3,"State","SC","Type2","Four-Year")</f>
        <v>335068</v>
      </c>
      <c r="Q37" s="191">
        <f>GETPIVOTDATA("Sum of New UG E-Learning",'Pivot Table for Fact Book'!$A$3,"State","SC","Type2","Four-Year")</f>
        <v>370639.5</v>
      </c>
      <c r="R37" s="189">
        <f>GETPIVOTDATA("Sum of Old UG E-Learning",'Pivot Table for Fact Book'!$A$3,"State","SC","type",7,"Type2","Two-Year")</f>
        <v>0</v>
      </c>
      <c r="S37" s="190">
        <f>GETPIVOTDATA("Sum of New UG E-Learning",'Pivot Table for Fact Book'!$A$3,"State","SC","type",7,"Type2","Two-Year")</f>
        <v>0</v>
      </c>
      <c r="T37" s="190">
        <f>GETPIVOTDATA("Sum of Old UG E-Learning",'Pivot Table for Fact Book'!$A$3,"State","SC","type",8,"Type2","Two-Year")</f>
        <v>314412</v>
      </c>
      <c r="U37" s="190">
        <f>GETPIVOTDATA("Sum of New UG E-Learning",'Pivot Table for Fact Book'!$A$3,"State","SC","type",8,"Type2","Two-Year")</f>
        <v>314976</v>
      </c>
      <c r="V37" s="190">
        <f>GETPIVOTDATA("Sum of Old UG E-Learning",'Pivot Table for Fact Book'!$A$3,"State","SC","type",9,"Type2","Two-Year")</f>
        <v>201139</v>
      </c>
      <c r="W37" s="190">
        <f>GETPIVOTDATA("Sum of New UG E-Learning",'Pivot Table for Fact Book'!$A$3,"State","SC","type",9,"Type2","Two-Year")</f>
        <v>220056</v>
      </c>
      <c r="X37" s="190">
        <f>GETPIVOTDATA("Sum of Old UG E-Learning",'Pivot Table for Fact Book'!$A$3,"State","SC","type",10,"Type2","Two-Year")</f>
        <v>73323</v>
      </c>
      <c r="Y37" s="190">
        <f>GETPIVOTDATA("Sum of New UG E-Learning",'Pivot Table for Fact Book'!$A$3,"State","SC","type",10,"Type2","Two-Year")</f>
        <v>88898</v>
      </c>
      <c r="Z37" s="192">
        <f>GETPIVOTDATA("Sum of Old UG E-Learning",'Pivot Table for Fact Book'!$A$3,"State","SC","Type2","Two-Year")</f>
        <v>588874</v>
      </c>
      <c r="AA37" s="192">
        <f>GETPIVOTDATA("Sum of New UG E-Learning",'Pivot Table for Fact Book'!$A$3,"State","SC","Type2","Two-Year")</f>
        <v>623930</v>
      </c>
      <c r="AB37" s="189">
        <f>+GETPIVOTDATA("Sum of Old UG E-Learning",'Pivot Table for Fact Book'!$A$3,"State","SC","type",12,"type2","Techncial")</f>
        <v>0</v>
      </c>
      <c r="AC37" s="190">
        <f>+GETPIVOTDATA("Sum of New UG E-Learning",'Pivot Table for Fact Book'!$A$3,"State","SC","type",12,"type2","Techncial")</f>
        <v>0</v>
      </c>
      <c r="AD37" s="190">
        <f>+GETPIVOTDATA("Sum of Old UG E-Learning",'Pivot Table for Fact Book'!$A$3,"State","SC","type",13,"type2","Techncial")</f>
        <v>0</v>
      </c>
      <c r="AE37" s="190">
        <f>+GETPIVOTDATA("Sum of New UG E-Learning",'Pivot Table for Fact Book'!$A$3,"State","SC","type",13,"type2","Techncial")</f>
        <v>0</v>
      </c>
      <c r="AF37" s="194">
        <f>+GETPIVOTDATA("Sum of Old UG E-Learning",'Pivot Table for Fact Book'!$A$3,"State","SC","type2","Techncial")</f>
        <v>0</v>
      </c>
      <c r="AG37" s="194">
        <f>+GETPIVOTDATA("Sum of New UG E-Learning",'Pivot Table for Fact Book'!$A$3,"State","SC","type2","Techncial")</f>
        <v>0</v>
      </c>
    </row>
    <row r="38" spans="1:33">
      <c r="A38" s="202" t="s">
        <v>678</v>
      </c>
      <c r="B38" s="189">
        <f>GETPIVOTDATA("Sum of Old UG E-Learning",'Pivot Table for Fact Book'!$A$3,"State","TN","type",1,"Type2","Four-Year")</f>
        <v>162678</v>
      </c>
      <c r="C38" s="190">
        <f>GETPIVOTDATA("Sum of New UG E-Learning",'Pivot Table for Fact Book'!$A$3,"State","TN","type",1,"Type2","Four-Year")</f>
        <v>173481</v>
      </c>
      <c r="D38" s="189">
        <f>GETPIVOTDATA("Sum of Old UG E-Learning",'Pivot Table for Fact Book'!$A$3,"State","TN","type",2,"Type2","Four-Year")</f>
        <v>213835</v>
      </c>
      <c r="E38" s="190">
        <f>GETPIVOTDATA("Sum of New UG E-Learning",'Pivot Table for Fact Book'!$A$3,"State","TN","type",2,"Type2","Four-Year")</f>
        <v>228028</v>
      </c>
      <c r="F38" s="189">
        <f>GETPIVOTDATA("Sum of Old UG E-Learning",'Pivot Table for Fact Book'!$A$3,"State","TN","type",3,"Type2","Four-Year")</f>
        <v>224000</v>
      </c>
      <c r="G38" s="190">
        <f>GETPIVOTDATA("Sum of New UG E-Learning",'Pivot Table for Fact Book'!$A$3,"State","TN","type",3,"Type2","Four-Year")</f>
        <v>234712</v>
      </c>
      <c r="H38" s="189">
        <f>GETPIVOTDATA("Sum of Old UG E-Learning",'Pivot Table for Fact Book'!$A$3,"State","TN","type",4,"Type2","Four-Year")</f>
        <v>0</v>
      </c>
      <c r="I38" s="190">
        <f>GETPIVOTDATA("Sum of New UG E-Learning",'Pivot Table for Fact Book'!$A$3,"State","TN","type",4,"Type2","Four-Year")</f>
        <v>0</v>
      </c>
      <c r="J38" s="189">
        <f>GETPIVOTDATA("Sum of Old UG E-Learning",'Pivot Table for Fact Book'!$A$3,"State","TN","type",5,"Type2","Four-Year")</f>
        <v>29643</v>
      </c>
      <c r="K38" s="190">
        <f>GETPIVOTDATA("Sum of New UG E-Learning",'Pivot Table for Fact Book'!$A$3,"State","TN","type",5,"Type2","Four-Year")</f>
        <v>28366</v>
      </c>
      <c r="L38" s="189">
        <f>GETPIVOTDATA("Sum of Old UG E-Learning",'Pivot Table for Fact Book'!$A$3,"State","TN","type",6,"Type2","Four-Year")</f>
        <v>0</v>
      </c>
      <c r="M38" s="190">
        <f>GETPIVOTDATA("Sum of New UG E-Learning",'Pivot Table for Fact Book'!$A$3,"State","TN","type",6,"Type2","Four-Year")</f>
        <v>0</v>
      </c>
      <c r="N38" s="189">
        <f>GETPIVOTDATA("Sum of Old UG E-Learning",'Pivot Table for Fact Book'!$A$3,"State","TN","type",15,"Type2","Four-Year")</f>
        <v>0</v>
      </c>
      <c r="O38" s="190">
        <f>GETPIVOTDATA("Sum of New UG E-Learning",'Pivot Table for Fact Book'!$A$3,"State","TN","type",15,"Type2","Four-Year")</f>
        <v>0</v>
      </c>
      <c r="P38" s="191">
        <f>GETPIVOTDATA("Sum of Old UG E-Learning",'Pivot Table for Fact Book'!$A$3,"State","TN","Type2","Four-Year")</f>
        <v>630156</v>
      </c>
      <c r="Q38" s="191">
        <f>GETPIVOTDATA("Sum of New UG E-Learning",'Pivot Table for Fact Book'!$A$3,"State","TN","Type2","Four-Year")</f>
        <v>664587</v>
      </c>
      <c r="R38" s="189">
        <f>GETPIVOTDATA("Sum of Old UG E-Learning",'Pivot Table for Fact Book'!$A$3,"State","TN","type",7,"Type2","Two-Year")</f>
        <v>0</v>
      </c>
      <c r="S38" s="190">
        <f>GETPIVOTDATA("Sum of New UG E-Learning",'Pivot Table for Fact Book'!$A$3,"State","TN","type",7,"Type2","Two-Year")</f>
        <v>0</v>
      </c>
      <c r="T38" s="190">
        <f>GETPIVOTDATA("Sum of Old UG E-Learning",'Pivot Table for Fact Book'!$A$3,"State","TN","type",8,"Type2","Two-Year")</f>
        <v>247639</v>
      </c>
      <c r="U38" s="190">
        <f>GETPIVOTDATA("Sum of New UG E-Learning",'Pivot Table for Fact Book'!$A$3,"State","TN","type",8,"Type2","Two-Year")</f>
        <v>260482</v>
      </c>
      <c r="V38" s="190">
        <f>GETPIVOTDATA("Sum of Old UG E-Learning",'Pivot Table for Fact Book'!$A$3,"State","TN","type",9,"Type2","Two-Year")</f>
        <v>225465</v>
      </c>
      <c r="W38" s="190">
        <f>GETPIVOTDATA("Sum of New UG E-Learning",'Pivot Table for Fact Book'!$A$3,"State","TN","type",9,"Type2","Two-Year")</f>
        <v>255037</v>
      </c>
      <c r="X38" s="190">
        <f>GETPIVOTDATA("Sum of Old UG E-Learning",'Pivot Table for Fact Book'!$A$3,"State","TN","type",10,"Type2","Two-Year")</f>
        <v>15711</v>
      </c>
      <c r="Y38" s="190">
        <f>GETPIVOTDATA("Sum of New UG E-Learning",'Pivot Table for Fact Book'!$A$3,"State","TN","type",10,"Type2","Two-Year")</f>
        <v>16790</v>
      </c>
      <c r="Z38" s="192">
        <f>GETPIVOTDATA("Sum of Old UG E-Learning",'Pivot Table for Fact Book'!$A$3,"State","TN","Type2","Two-Year")</f>
        <v>488815</v>
      </c>
      <c r="AA38" s="192">
        <f>GETPIVOTDATA("Sum of New UG E-Learning",'Pivot Table for Fact Book'!$A$3,"State","TN","Type2","Two-Year")</f>
        <v>532309</v>
      </c>
      <c r="AB38" s="189">
        <f>+GETPIVOTDATA("Sum of Old UG E-Learning",'Pivot Table for Fact Book'!$A$3,"State","TN","type",12,"type2","Techncial")</f>
        <v>0</v>
      </c>
      <c r="AC38" s="190">
        <f>+GETPIVOTDATA("Sum of New UG E-Learning",'Pivot Table for Fact Book'!$A$3,"State","TN","type",12,"type2","Techncial")</f>
        <v>0</v>
      </c>
      <c r="AD38" s="190">
        <f>+GETPIVOTDATA("Sum of Old UG E-Learning",'Pivot Table for Fact Book'!$A$3,"State","TN","type",13,"type2","Techncial")</f>
        <v>0</v>
      </c>
      <c r="AE38" s="190">
        <f>+GETPIVOTDATA("Sum of New UG E-Learning",'Pivot Table for Fact Book'!$A$3,"State","TN","type",13,"type2","Techncial")</f>
        <v>0</v>
      </c>
      <c r="AF38" s="194">
        <f>+GETPIVOTDATA("Sum of Old UG E-Learning",'Pivot Table for Fact Book'!$A$3,"State","TN","type2","Techncial")</f>
        <v>0</v>
      </c>
      <c r="AG38" s="194">
        <f>+GETPIVOTDATA("Sum of New UG E-Learning",'Pivot Table for Fact Book'!$A$3,"State","TN","type2","Techncial")</f>
        <v>0</v>
      </c>
    </row>
    <row r="39" spans="1:33">
      <c r="A39" s="202" t="s">
        <v>679</v>
      </c>
      <c r="B39" s="189">
        <f>GETPIVOTDATA("Sum of Old UG E-Learning",'Pivot Table for Fact Book'!$A$3,"State","TX","type",1,"Type2","Four-Year")</f>
        <v>0</v>
      </c>
      <c r="C39" s="190">
        <f>GETPIVOTDATA("Sum of New UG E-Learning",'Pivot Table for Fact Book'!$A$3,"State","TX","type",1,"Type2","Four-Year")</f>
        <v>0</v>
      </c>
      <c r="D39" s="189">
        <f>GETPIVOTDATA("Sum of Old UG E-Learning",'Pivot Table for Fact Book'!$A$3,"State","TX","type",2,"Type2","Four-Year")</f>
        <v>0</v>
      </c>
      <c r="E39" s="190">
        <f>GETPIVOTDATA("Sum of New UG E-Learning",'Pivot Table for Fact Book'!$A$3,"State","TX","type",2,"Type2","Four-Year")</f>
        <v>0</v>
      </c>
      <c r="F39" s="189">
        <f>GETPIVOTDATA("Sum of Old UG E-Learning",'Pivot Table for Fact Book'!$A$3,"State","TX","type",3,"Type2","Four-Year")</f>
        <v>0</v>
      </c>
      <c r="G39" s="190">
        <f>GETPIVOTDATA("Sum of New UG E-Learning",'Pivot Table for Fact Book'!$A$3,"State","TX","type",3,"Type2","Four-Year")</f>
        <v>0</v>
      </c>
      <c r="H39" s="189">
        <f>GETPIVOTDATA("Sum of Old UG E-Learning",'Pivot Table for Fact Book'!$A$3,"State","TX","type",4,"Type2","Four-Year")</f>
        <v>0</v>
      </c>
      <c r="I39" s="190">
        <f>GETPIVOTDATA("Sum of New UG E-Learning",'Pivot Table for Fact Book'!$A$3,"State","TX","type",4,"Type2","Four-Year")</f>
        <v>0</v>
      </c>
      <c r="J39" s="189">
        <f>GETPIVOTDATA("Sum of Old UG E-Learning",'Pivot Table for Fact Book'!$A$3,"State","TX","type",5,"Type2","Four-Year")</f>
        <v>0</v>
      </c>
      <c r="K39" s="190">
        <f>GETPIVOTDATA("Sum of New UG E-Learning",'Pivot Table for Fact Book'!$A$3,"State","TX","type",5,"Type2","Four-Year")</f>
        <v>0</v>
      </c>
      <c r="L39" s="189">
        <f>GETPIVOTDATA("Sum of Old UG E-Learning",'Pivot Table for Fact Book'!$A$3,"State","TX","type",6,"Type2","Four-Year")</f>
        <v>0</v>
      </c>
      <c r="M39" s="190">
        <f>GETPIVOTDATA("Sum of New UG E-Learning",'Pivot Table for Fact Book'!$A$3,"State","TX","type",6,"Type2","Four-Year")</f>
        <v>0</v>
      </c>
      <c r="N39" s="189">
        <f>GETPIVOTDATA("Sum of Old UG E-Learning",'Pivot Table for Fact Book'!$A$3,"State","TX","type",15,"Type2","Four-Year")</f>
        <v>0</v>
      </c>
      <c r="O39" s="190">
        <f>GETPIVOTDATA("Sum of New UG E-Learning",'Pivot Table for Fact Book'!$A$3,"State","TX","type",15,"Type2","Four-Year")</f>
        <v>0</v>
      </c>
      <c r="P39" s="191">
        <f>GETPIVOTDATA("Sum of Old UG E-Learning",'Pivot Table for Fact Book'!$A$3,"State","TX","Type2","Four-Year")</f>
        <v>0</v>
      </c>
      <c r="Q39" s="191">
        <f>GETPIVOTDATA("Sum of New UG E-Learning",'Pivot Table for Fact Book'!$A$3,"State","TX","Type2","Four-Year")</f>
        <v>0</v>
      </c>
      <c r="R39" s="189">
        <f>GETPIVOTDATA("Sum of Old UG E-Learning",'Pivot Table for Fact Book'!$A$3,"State","TX","type",7,"Type2","Two-Year")</f>
        <v>0</v>
      </c>
      <c r="S39" s="190">
        <f>GETPIVOTDATA("Sum of New UG E-Learning",'Pivot Table for Fact Book'!$A$3,"State","TX","type",7,"Type2","Two-Year")</f>
        <v>0</v>
      </c>
      <c r="T39" s="190">
        <f>GETPIVOTDATA("Sum of Old UG E-Learning",'Pivot Table for Fact Book'!$A$3,"State","TX","type",8,"Type2","Two-Year")</f>
        <v>0</v>
      </c>
      <c r="U39" s="190">
        <f>GETPIVOTDATA("Sum of New UG E-Learning",'Pivot Table for Fact Book'!$A$3,"State","TX","type",8,"Type2","Two-Year")</f>
        <v>0</v>
      </c>
      <c r="V39" s="190">
        <f>GETPIVOTDATA("Sum of Old UG E-Learning",'Pivot Table for Fact Book'!$A$3,"State","TX","type",9,"Type2","Two-Year")</f>
        <v>0</v>
      </c>
      <c r="W39" s="190">
        <f>GETPIVOTDATA("Sum of New UG E-Learning",'Pivot Table for Fact Book'!$A$3,"State","TX","type",9,"Type2","Two-Year")</f>
        <v>0</v>
      </c>
      <c r="X39" s="190">
        <f>GETPIVOTDATA("Sum of Old UG E-Learning",'Pivot Table for Fact Book'!$A$3,"State","TX","type",10,"Type2","Two-Year")</f>
        <v>0</v>
      </c>
      <c r="Y39" s="190">
        <f>GETPIVOTDATA("Sum of New UG E-Learning",'Pivot Table for Fact Book'!$A$3,"State","TX","type",10,"Type2","Two-Year")</f>
        <v>0</v>
      </c>
      <c r="Z39" s="192">
        <f>GETPIVOTDATA("Sum of Old UG E-Learning",'Pivot Table for Fact Book'!$A$3,"State","TX","Type2","Two-Year")</f>
        <v>0</v>
      </c>
      <c r="AA39" s="192">
        <f>GETPIVOTDATA("Sum of New UG E-Learning",'Pivot Table for Fact Book'!$A$3,"State","TX","Type2","Two-Year")</f>
        <v>0</v>
      </c>
      <c r="AB39" s="189">
        <f>+GETPIVOTDATA("Sum of Old UG E-Learning",'Pivot Table for Fact Book'!$A$3,"State","TX","type",12,"type2","Techncial")</f>
        <v>0</v>
      </c>
      <c r="AC39" s="190">
        <f>+GETPIVOTDATA("Sum of New UG E-Learning",'Pivot Table for Fact Book'!$A$3,"State","TX","type",12,"type2","Techncial")</f>
        <v>0</v>
      </c>
      <c r="AD39" s="190">
        <f>+GETPIVOTDATA("Sum of Old UG E-Learning",'Pivot Table for Fact Book'!$A$3,"State","TX","type",13,"type2","Techncial")</f>
        <v>0</v>
      </c>
      <c r="AE39" s="190">
        <f>+GETPIVOTDATA("Sum of New UG E-Learning",'Pivot Table for Fact Book'!$A$3,"State","TX","type",13,"type2","Techncial")</f>
        <v>0</v>
      </c>
      <c r="AF39" s="194">
        <f>+GETPIVOTDATA("Sum of Old UG E-Learning",'Pivot Table for Fact Book'!$A$3,"State","TX","type2","Techncial")</f>
        <v>0</v>
      </c>
      <c r="AG39" s="194">
        <f>+GETPIVOTDATA("Sum of New UG E-Learning",'Pivot Table for Fact Book'!$A$3,"State","TX","type2","Techncial")</f>
        <v>0</v>
      </c>
    </row>
    <row r="40" spans="1:33">
      <c r="A40" s="202" t="s">
        <v>680</v>
      </c>
      <c r="B40" s="189">
        <f>GETPIVOTDATA("Sum of Old UG E-Learning",'Pivot Table for Fact Book'!$A$3,"State","VA","type",1,"Type2","Four-Year")</f>
        <v>344472.5</v>
      </c>
      <c r="C40" s="190">
        <f>GETPIVOTDATA("Sum of New UG E-Learning",'Pivot Table for Fact Book'!$A$3,"State","VA","type",1,"Type2","Four-Year")</f>
        <v>367905</v>
      </c>
      <c r="D40" s="189">
        <f>GETPIVOTDATA("Sum of Old UG E-Learning",'Pivot Table for Fact Book'!$A$3,"State","VA","type",2,"Type2","Four-Year")</f>
        <v>740</v>
      </c>
      <c r="E40" s="190">
        <f>GETPIVOTDATA("Sum of New UG E-Learning",'Pivot Table for Fact Book'!$A$3,"State","VA","type",2,"Type2","Four-Year")</f>
        <v>1128</v>
      </c>
      <c r="F40" s="189">
        <f>GETPIVOTDATA("Sum of Old UG E-Learning",'Pivot Table for Fact Book'!$A$3,"State","VA","type",3,"Type2","Four-Year")</f>
        <v>125234</v>
      </c>
      <c r="G40" s="190">
        <f>GETPIVOTDATA("Sum of New UG E-Learning",'Pivot Table for Fact Book'!$A$3,"State","VA","type",3,"Type2","Four-Year")</f>
        <v>130960.2</v>
      </c>
      <c r="H40" s="189">
        <f>GETPIVOTDATA("Sum of Old UG E-Learning",'Pivot Table for Fact Book'!$A$3,"State","VA","type",4,"Type2","Four-Year")</f>
        <v>0</v>
      </c>
      <c r="I40" s="190">
        <f>GETPIVOTDATA("Sum of New UG E-Learning",'Pivot Table for Fact Book'!$A$3,"State","VA","type",4,"Type2","Four-Year")</f>
        <v>0</v>
      </c>
      <c r="J40" s="189">
        <f>GETPIVOTDATA("Sum of Old UG E-Learning",'Pivot Table for Fact Book'!$A$3,"State","VA","type",5,"Type2","Four-Year")</f>
        <v>0</v>
      </c>
      <c r="K40" s="190">
        <f>GETPIVOTDATA("Sum of New UG E-Learning",'Pivot Table for Fact Book'!$A$3,"State","VA","type",5,"Type2","Four-Year")</f>
        <v>114</v>
      </c>
      <c r="L40" s="189">
        <f>GETPIVOTDATA("Sum of Old UG E-Learning",'Pivot Table for Fact Book'!$A$3,"State","VA","type",6,"Type2","Four-Year")</f>
        <v>11516</v>
      </c>
      <c r="M40" s="190">
        <f>GETPIVOTDATA("Sum of New UG E-Learning",'Pivot Table for Fact Book'!$A$3,"State","VA","type",6,"Type2","Four-Year")</f>
        <v>11457</v>
      </c>
      <c r="N40" s="189">
        <f>GETPIVOTDATA("Sum of Old UG E-Learning",'Pivot Table for Fact Book'!$A$3,"State","VA","type",15,"Type2","Four-Year")</f>
        <v>0</v>
      </c>
      <c r="O40" s="190">
        <f>GETPIVOTDATA("Sum of New UG E-Learning",'Pivot Table for Fact Book'!$A$3,"State","VA","type",15,"Type2","Four-Year")</f>
        <v>0</v>
      </c>
      <c r="P40" s="191">
        <f>GETPIVOTDATA("Sum of Old UG E-Learning",'Pivot Table for Fact Book'!$A$3,"State","VA","Type2","Four-Year")</f>
        <v>481962.5</v>
      </c>
      <c r="Q40" s="191">
        <f>GETPIVOTDATA("Sum of New UG E-Learning",'Pivot Table for Fact Book'!$A$3,"State","VA","Type2","Four-Year")</f>
        <v>511564.2</v>
      </c>
      <c r="R40" s="189">
        <f>GETPIVOTDATA("Sum of Old UG E-Learning",'Pivot Table for Fact Book'!$A$3,"State","VA","type",7,"Type2","Two-Year")</f>
        <v>0</v>
      </c>
      <c r="S40" s="190">
        <f>GETPIVOTDATA("Sum of New UG E-Learning",'Pivot Table for Fact Book'!$A$3,"State","VA","type",7,"Type2","Two-Year")</f>
        <v>0</v>
      </c>
      <c r="T40" s="190">
        <f>GETPIVOTDATA("Sum of Old UG E-Learning",'Pivot Table for Fact Book'!$A$3,"State","VA","type",8,"Type2","Two-Year")</f>
        <v>539676</v>
      </c>
      <c r="U40" s="190">
        <f>GETPIVOTDATA("Sum of New UG E-Learning",'Pivot Table for Fact Book'!$A$3,"State","VA","type",8,"Type2","Two-Year")</f>
        <v>517270</v>
      </c>
      <c r="V40" s="190">
        <f>GETPIVOTDATA("Sum of Old UG E-Learning",'Pivot Table for Fact Book'!$A$3,"State","VA","type",9,"Type2","Two-Year")</f>
        <v>242807</v>
      </c>
      <c r="W40" s="190">
        <f>GETPIVOTDATA("Sum of New UG E-Learning",'Pivot Table for Fact Book'!$A$3,"State","VA","type",9,"Type2","Two-Year")</f>
        <v>254797</v>
      </c>
      <c r="X40" s="190">
        <f>GETPIVOTDATA("Sum of Old UG E-Learning",'Pivot Table for Fact Book'!$A$3,"State","VA","type",10,"Type2","Two-Year")</f>
        <v>167797</v>
      </c>
      <c r="Y40" s="190">
        <f>GETPIVOTDATA("Sum of New UG E-Learning",'Pivot Table for Fact Book'!$A$3,"State","VA","type",10,"Type2","Two-Year")</f>
        <v>171157</v>
      </c>
      <c r="Z40" s="192">
        <f>GETPIVOTDATA("Sum of Old UG E-Learning",'Pivot Table for Fact Book'!$A$3,"State","VA","Type2","Two-Year")</f>
        <v>950280</v>
      </c>
      <c r="AA40" s="192">
        <f>GETPIVOTDATA("Sum of New UG E-Learning",'Pivot Table for Fact Book'!$A$3,"State","VA","Type2","Two-Year")</f>
        <v>943224</v>
      </c>
      <c r="AB40" s="189">
        <f>+GETPIVOTDATA("Sum of Old UG E-Learning",'Pivot Table for Fact Book'!$A$3,"State","VA","type",12,"type2","Techncial")</f>
        <v>0</v>
      </c>
      <c r="AC40" s="190">
        <f>+GETPIVOTDATA("Sum of New UG E-Learning",'Pivot Table for Fact Book'!$A$3,"State","VA","type",12,"type2","Techncial")</f>
        <v>0</v>
      </c>
      <c r="AD40" s="190">
        <f>+GETPIVOTDATA("Sum of Old UG E-Learning",'Pivot Table for Fact Book'!$A$3,"State","VA","type",13,"type2","Techncial")</f>
        <v>0</v>
      </c>
      <c r="AE40" s="190">
        <f>+GETPIVOTDATA("Sum of New UG E-Learning",'Pivot Table for Fact Book'!$A$3,"State","VA","type",13,"type2","Techncial")</f>
        <v>0</v>
      </c>
      <c r="AF40" s="194">
        <f>+GETPIVOTDATA("Sum of Old UG E-Learning",'Pivot Table for Fact Book'!$A$3,"State","VA","type2","Techncial")</f>
        <v>0</v>
      </c>
      <c r="AG40" s="194">
        <f>+GETPIVOTDATA("Sum of New UG E-Learning",'Pivot Table for Fact Book'!$A$3,"State","VA","type2","Techncial")</f>
        <v>0</v>
      </c>
    </row>
    <row r="41" spans="1:33">
      <c r="A41" s="223" t="s">
        <v>681</v>
      </c>
      <c r="B41" s="195">
        <f>GETPIVOTDATA("Sum of Old UG E-Learning",'Pivot Table for Fact Book'!$A$3,"State","WV","type",1,"Type2","Four-Year")</f>
        <v>73069</v>
      </c>
      <c r="C41" s="196">
        <f>GETPIVOTDATA("Sum of New UG E-Learning",'Pivot Table for Fact Book'!$A$3,"State","WV","type",1,"Type2","Four-Year")</f>
        <v>80558</v>
      </c>
      <c r="D41" s="195">
        <f>GETPIVOTDATA("Sum of Old UG E-Learning",'Pivot Table for Fact Book'!$A$3,"State","WV","type",2,"Type2","Four-Year")</f>
        <v>0</v>
      </c>
      <c r="E41" s="196">
        <f>GETPIVOTDATA("Sum of New UG E-Learning",'Pivot Table for Fact Book'!$A$3,"State","WV","type",2,"Type2","Four-Year")</f>
        <v>0</v>
      </c>
      <c r="F41" s="195">
        <f>GETPIVOTDATA("Sum of Old UG E-Learning",'Pivot Table for Fact Book'!$A$3,"State","WV","type",3,"Type2","Four-Year")</f>
        <v>45440</v>
      </c>
      <c r="G41" s="196">
        <f>GETPIVOTDATA("Sum of New UG E-Learning",'Pivot Table for Fact Book'!$A$3,"State","WV","type",3,"Type2","Four-Year")</f>
        <v>47769</v>
      </c>
      <c r="H41" s="195">
        <f>GETPIVOTDATA("Sum of Old UG E-Learning",'Pivot Table for Fact Book'!$A$3,"State","WV","type",4,"Type2","Four-Year")</f>
        <v>0</v>
      </c>
      <c r="I41" s="196">
        <f>GETPIVOTDATA("Sum of New UG E-Learning",'Pivot Table for Fact Book'!$A$3,"State","WV","type",4,"Type2","Four-Year")</f>
        <v>0</v>
      </c>
      <c r="J41" s="195">
        <f>GETPIVOTDATA("Sum of Old UG E-Learning",'Pivot Table for Fact Book'!$A$3,"State","WV","type",5,"Type2","Four-Year")</f>
        <v>49939</v>
      </c>
      <c r="K41" s="196">
        <f>GETPIVOTDATA("Sum of New UG E-Learning",'Pivot Table for Fact Book'!$A$3,"State","WV","type",5,"Type2","Four-Year")</f>
        <v>54801</v>
      </c>
      <c r="L41" s="195">
        <f>GETPIVOTDATA("Sum of Old UG E-Learning",'Pivot Table for Fact Book'!$A$3,"State","WV","type",6,"Type2","Four-Year")</f>
        <v>49843</v>
      </c>
      <c r="M41" s="196">
        <f>GETPIVOTDATA("Sum of New UG E-Learning",'Pivot Table for Fact Book'!$A$3,"State","WV","type",6,"Type2","Four-Year")</f>
        <v>51881</v>
      </c>
      <c r="N41" s="195">
        <f>GETPIVOTDATA("Sum of Old UG E-Learning",'Pivot Table for Fact Book'!$A$3,"State","WV","type",15,"Type2","Four-Year")</f>
        <v>0</v>
      </c>
      <c r="O41" s="196">
        <f>GETPIVOTDATA("Sum of New UG E-Learning",'Pivot Table for Fact Book'!$A$3,"State","WV","type",15,"Type2","Four-Year")</f>
        <v>0</v>
      </c>
      <c r="P41" s="197">
        <f>GETPIVOTDATA("Sum of Old UG E-Learning",'Pivot Table for Fact Book'!$A$3,"State","WV","Type2","Four-Year")</f>
        <v>218291</v>
      </c>
      <c r="Q41" s="197">
        <f>GETPIVOTDATA("Sum of New UG E-Learning",'Pivot Table for Fact Book'!$A$3,"State","WV","Type2","Four-Year")</f>
        <v>235009</v>
      </c>
      <c r="R41" s="195">
        <f>GETPIVOTDATA("Sum of Old UG E-Learning",'Pivot Table for Fact Book'!$A$3,"State","WV","type",7,"Type2","Two-Year")</f>
        <v>27708</v>
      </c>
      <c r="S41" s="196">
        <f>GETPIVOTDATA("Sum of New UG E-Learning",'Pivot Table for Fact Book'!$A$3,"State","WV","type",7,"Type2","Two-Year")</f>
        <v>31804</v>
      </c>
      <c r="T41" s="196">
        <f>GETPIVOTDATA("Sum of Old UG E-Learning",'Pivot Table for Fact Book'!$A$3,"State","WV","type",8,"Type2","Two-Year")</f>
        <v>0</v>
      </c>
      <c r="U41" s="196">
        <f>GETPIVOTDATA("Sum of New UG E-Learning",'Pivot Table for Fact Book'!$A$3,"State","WV","type",8,"Type2","Two-Year")</f>
        <v>0</v>
      </c>
      <c r="V41" s="196">
        <f>GETPIVOTDATA("Sum of Old UG E-Learning",'Pivot Table for Fact Book'!$A$3,"State","WV","type",9,"Type2","Two-Year")</f>
        <v>15392</v>
      </c>
      <c r="W41" s="196">
        <f>GETPIVOTDATA("Sum of New UG E-Learning",'Pivot Table for Fact Book'!$A$3,"State","WV","type",9,"Type2","Two-Year")</f>
        <v>14992</v>
      </c>
      <c r="X41" s="196">
        <f>GETPIVOTDATA("Sum of Old UG E-Learning",'Pivot Table for Fact Book'!$A$3,"State","WV","type",10,"Type2","Two-Year")</f>
        <v>71798</v>
      </c>
      <c r="Y41" s="196">
        <f>GETPIVOTDATA("Sum of New UG E-Learning",'Pivot Table for Fact Book'!$A$3,"State","WV","type",10,"Type2","Two-Year")</f>
        <v>74363</v>
      </c>
      <c r="Z41" s="198">
        <f>GETPIVOTDATA("Sum of Old UG E-Learning",'Pivot Table for Fact Book'!$A$3,"State","WV","Type2","Two-Year")</f>
        <v>114898</v>
      </c>
      <c r="AA41" s="198">
        <f>GETPIVOTDATA("Sum of New UG E-Learning",'Pivot Table for Fact Book'!$A$3,"State","WV","Type2","Two-Year")</f>
        <v>121159</v>
      </c>
      <c r="AB41" s="195">
        <f>+GETPIVOTDATA("Sum of Old UG E-Learning",'Pivot Table for Fact Book'!$A$3,"State","WV","type",12,"type2","Techncial")</f>
        <v>0</v>
      </c>
      <c r="AC41" s="196">
        <f>+GETPIVOTDATA("Sum of New UG E-Learning",'Pivot Table for Fact Book'!$A$3,"State","WV","type",12,"type2","Techncial")</f>
        <v>0</v>
      </c>
      <c r="AD41" s="196">
        <f>+GETPIVOTDATA("Sum of Old UG E-Learning",'Pivot Table for Fact Book'!$A$3,"State","WV","type",13,"type2","Techncial")</f>
        <v>0</v>
      </c>
      <c r="AE41" s="196">
        <f>+GETPIVOTDATA("Sum of New UG E-Learning",'Pivot Table for Fact Book'!$A$3,"State","WV","type",13,"type2","Techncial")</f>
        <v>0</v>
      </c>
      <c r="AF41" s="200">
        <f>+GETPIVOTDATA("Sum of Old UG E-Learning",'Pivot Table for Fact Book'!$A$3,"State","WV","type2","Techncial")</f>
        <v>0</v>
      </c>
      <c r="AG41" s="200">
        <f>+GETPIVOTDATA("Sum of New UG E-Learning",'Pivot Table for Fact Book'!$A$3,"State","WV","type2","Techncial")</f>
        <v>0</v>
      </c>
    </row>
    <row r="43" spans="1:33">
      <c r="A43" s="201" t="s">
        <v>683</v>
      </c>
    </row>
    <row r="44" spans="1:33">
      <c r="B44" s="203" t="s">
        <v>662</v>
      </c>
      <c r="C44" s="204"/>
      <c r="D44" s="204"/>
      <c r="E44" s="204"/>
      <c r="F44" s="204"/>
      <c r="G44" s="204"/>
      <c r="H44" s="204"/>
      <c r="I44" s="204"/>
      <c r="J44" s="204"/>
      <c r="K44" s="204"/>
      <c r="L44" s="204"/>
      <c r="M44" s="204"/>
      <c r="N44" s="204"/>
      <c r="O44" s="204"/>
      <c r="P44" s="204"/>
      <c r="Q44" s="204"/>
    </row>
    <row r="45" spans="1:33">
      <c r="B45" s="209">
        <v>1</v>
      </c>
      <c r="C45" s="210"/>
      <c r="D45" s="209">
        <v>2</v>
      </c>
      <c r="E45" s="210"/>
      <c r="F45" s="209">
        <v>3</v>
      </c>
      <c r="G45" s="210"/>
      <c r="H45" s="209">
        <v>4</v>
      </c>
      <c r="I45" s="210"/>
      <c r="J45" s="209">
        <v>5</v>
      </c>
      <c r="K45" s="210"/>
      <c r="L45" s="209">
        <v>6</v>
      </c>
      <c r="M45" s="210"/>
      <c r="N45" s="209">
        <v>15</v>
      </c>
      <c r="O45" s="210"/>
      <c r="P45" s="209" t="s">
        <v>665</v>
      </c>
      <c r="Q45" s="211"/>
    </row>
    <row r="46" spans="1:33" s="225" customFormat="1">
      <c r="A46" s="224"/>
      <c r="B46" s="217">
        <v>2018</v>
      </c>
      <c r="C46" s="218">
        <v>2019</v>
      </c>
      <c r="D46" s="217">
        <v>2018</v>
      </c>
      <c r="E46" s="218">
        <v>2019</v>
      </c>
      <c r="F46" s="217">
        <v>2018</v>
      </c>
      <c r="G46" s="218">
        <v>2019</v>
      </c>
      <c r="H46" s="217">
        <v>2018</v>
      </c>
      <c r="I46" s="218">
        <v>2019</v>
      </c>
      <c r="J46" s="217">
        <v>2018</v>
      </c>
      <c r="K46" s="218">
        <v>2019</v>
      </c>
      <c r="L46" s="217">
        <v>2018</v>
      </c>
      <c r="M46" s="218">
        <v>2019</v>
      </c>
      <c r="N46" s="217">
        <v>2018</v>
      </c>
      <c r="O46" s="218">
        <v>2019</v>
      </c>
      <c r="P46" s="217">
        <v>2018</v>
      </c>
      <c r="Q46" s="218">
        <v>2019</v>
      </c>
    </row>
    <row r="47" spans="1:33">
      <c r="A47" s="202" t="s">
        <v>666</v>
      </c>
      <c r="B47" s="189">
        <f>GETPIVOTDATA("Sum of Old-Tot G SCH Calc",'Pivot Table for Fact Book'!$A$3,"State","AL","type",1,"Type2","Four-Year")</f>
        <v>263744</v>
      </c>
      <c r="C47" s="190">
        <f>GETPIVOTDATA("Sum of New-Tot G SCH Calc",'Pivot Table for Fact Book'!$A$3,"State","AL","type",1,"Type2","Four-Year")</f>
        <v>265766</v>
      </c>
      <c r="D47" s="189">
        <f>GETPIVOTDATA("Sum of Old-Tot G SCH Calc",'Pivot Table for Fact Book'!$A$3,"State","AL","type",2,"Type2","Four-Year")</f>
        <v>48047</v>
      </c>
      <c r="E47" s="190">
        <f>GETPIVOTDATA("Sum of New-Tot G SCH Calc",'Pivot Table for Fact Book'!$A$3,"State","AL","type",2,"Type2","Four-Year")</f>
        <v>48614</v>
      </c>
      <c r="F47" s="189">
        <f>GETPIVOTDATA("Sum of Old-Tot G SCH Calc",'Pivot Table for Fact Book'!$A$3,"State","AL","type",3,"Type2","Four-Year")</f>
        <v>89072</v>
      </c>
      <c r="G47" s="190">
        <f>GETPIVOTDATA("Sum of New-Tot G SCH Calc",'Pivot Table for Fact Book'!$A$3,"State","AL","type",3,"Type2","Four-Year")</f>
        <v>100452</v>
      </c>
      <c r="H47" s="189">
        <f>GETPIVOTDATA("Sum of Old-Tot G SCH Calc",'Pivot Table for Fact Book'!$A$3,"State","AL","type",4,"Type2","Four-Year")</f>
        <v>23018</v>
      </c>
      <c r="I47" s="190">
        <f>GETPIVOTDATA("Sum of New-Tot G SCH Calc",'Pivot Table for Fact Book'!$A$3,"State","AL","type",4,"Type2","Four-Year")</f>
        <v>23031</v>
      </c>
      <c r="J47" s="189">
        <f>GETPIVOTDATA("Sum of Old-Tot G SCH Calc",'Pivot Table for Fact Book'!$A$3,"State","AL","type",5,"Type2","Four-Year")</f>
        <v>60631</v>
      </c>
      <c r="K47" s="190">
        <f>GETPIVOTDATA("Sum of New-Tot G SCH Calc",'Pivot Table for Fact Book'!$A$3,"State","AL","type",5,"Type2","Four-Year")</f>
        <v>71136</v>
      </c>
      <c r="L47" s="189">
        <f>GETPIVOTDATA("Sum of Old-Tot G SCH Calc",'Pivot Table for Fact Book'!$A$3,"State","AL","type",6,"Type2","Four-Year")</f>
        <v>2376</v>
      </c>
      <c r="M47" s="190">
        <f>GETPIVOTDATA("Sum of New-Tot G SCH Calc",'Pivot Table for Fact Book'!$A$3,"State","AL","type",6,"Type2","Four-Year")</f>
        <v>2415</v>
      </c>
      <c r="N47" s="189">
        <f>GETPIVOTDATA("Sum of Old-Tot G SCH Calc",'Pivot Table for Fact Book'!$A$3,"State","AL","type",15,"Type2","Four-Year")</f>
        <v>0</v>
      </c>
      <c r="O47" s="190">
        <f>GETPIVOTDATA("Sum of New-Tot G SCH Calc",'Pivot Table for Fact Book'!$A$3,"State","AL","type",15,"Type2","Four-Year")</f>
        <v>0</v>
      </c>
      <c r="P47" s="191">
        <f>GETPIVOTDATA("Sum of Old-Tot G SCH Calc",'Pivot Table for Fact Book'!$A$3,"State","AL","Type2","Four-Year")</f>
        <v>486888</v>
      </c>
      <c r="Q47" s="191">
        <f>GETPIVOTDATA("Sum of New-Tot G SCH Calc",'Pivot Table for Fact Book'!$A$3,"State","AL","Type2","Four-Year")</f>
        <v>511414</v>
      </c>
    </row>
    <row r="48" spans="1:33">
      <c r="A48" s="202" t="s">
        <v>667</v>
      </c>
      <c r="B48" s="189">
        <f>GETPIVOTDATA("Sum of Old-Tot G SCH Calc",'Pivot Table for Fact Book'!$A$3,"State","AR","type",1,"Type2","Four-Year")</f>
        <v>79091</v>
      </c>
      <c r="C48" s="190">
        <f>GETPIVOTDATA("Sum of New-Tot G SCH Calc",'Pivot Table for Fact Book'!$A$3,"State","AR","type",1,"Type2","Four-Year")</f>
        <v>76358</v>
      </c>
      <c r="D48" s="189">
        <f>GETPIVOTDATA("Sum of Old-Tot G SCH Calc",'Pivot Table for Fact Book'!$A$3,"State","AR","type",2,"Type2","Four-Year")</f>
        <v>42678</v>
      </c>
      <c r="E48" s="190">
        <f>GETPIVOTDATA("Sum of New-Tot G SCH Calc",'Pivot Table for Fact Book'!$A$3,"State","AR","type",2,"Type2","Four-Year")</f>
        <v>41407</v>
      </c>
      <c r="F48" s="189">
        <f>GETPIVOTDATA("Sum of Old-Tot G SCH Calc",'Pivot Table for Fact Book'!$A$3,"State","AR","type",3,"Type2","Four-Year")</f>
        <v>152320</v>
      </c>
      <c r="G48" s="190">
        <f>GETPIVOTDATA("Sum of New-Tot G SCH Calc",'Pivot Table for Fact Book'!$A$3,"State","AR","type",3,"Type2","Four-Year")</f>
        <v>152757</v>
      </c>
      <c r="H48" s="189">
        <f>GETPIVOTDATA("Sum of Old-Tot G SCH Calc",'Pivot Table for Fact Book'!$A$3,"State","AR","type",4,"Type2","Four-Year")</f>
        <v>31482</v>
      </c>
      <c r="I48" s="190">
        <f>GETPIVOTDATA("Sum of New-Tot G SCH Calc",'Pivot Table for Fact Book'!$A$3,"State","AR","type",4,"Type2","Four-Year")</f>
        <v>31589</v>
      </c>
      <c r="J48" s="189">
        <f>GETPIVOTDATA("Sum of Old-Tot G SCH Calc",'Pivot Table for Fact Book'!$A$3,"State","AR","type",5,"Type2","Four-Year")</f>
        <v>0</v>
      </c>
      <c r="K48" s="190">
        <f>GETPIVOTDATA("Sum of New-Tot G SCH Calc",'Pivot Table for Fact Book'!$A$3,"State","AR","type",5,"Type2","Four-Year")</f>
        <v>0</v>
      </c>
      <c r="L48" s="189">
        <f>GETPIVOTDATA("Sum of Old-Tot G SCH Calc",'Pivot Table for Fact Book'!$A$3,"State","AR","type",6,"Type2","Four-Year")</f>
        <v>1724</v>
      </c>
      <c r="M48" s="190">
        <f>GETPIVOTDATA("Sum of New-Tot G SCH Calc",'Pivot Table for Fact Book'!$A$3,"State","AR","type",6,"Type2","Four-Year")</f>
        <v>2127</v>
      </c>
      <c r="N48" s="189">
        <f>GETPIVOTDATA("Sum of Old-Tot G SCH Calc",'Pivot Table for Fact Book'!$A$3,"State","AR","type",15,"Type2","Four-Year")</f>
        <v>0</v>
      </c>
      <c r="O48" s="190">
        <f>GETPIVOTDATA("Sum of New-Tot G SCH Calc",'Pivot Table for Fact Book'!$A$3,"State","AR","type",15,"Type2","Four-Year")</f>
        <v>65678</v>
      </c>
      <c r="P48" s="191">
        <f>GETPIVOTDATA("Sum of Old-Tot G SCH Calc",'Pivot Table for Fact Book'!$A$3,"State","AR","Type2","Four-Year")</f>
        <v>307295</v>
      </c>
      <c r="Q48" s="191">
        <f>GETPIVOTDATA("Sum of New-Tot G SCH Calc",'Pivot Table for Fact Book'!$A$3,"State","AR","Type2","Four-Year")</f>
        <v>369916</v>
      </c>
    </row>
    <row r="49" spans="1:17">
      <c r="A49" s="202" t="s">
        <v>668</v>
      </c>
      <c r="B49" s="189">
        <f>GETPIVOTDATA("Sum of Old-Tot G SCH Calc",'Pivot Table for Fact Book'!$A$3,"State","DE","type",1,"Type2","Four-Year")</f>
        <v>73413</v>
      </c>
      <c r="C49" s="190">
        <f>GETPIVOTDATA("Sum of New-Tot G SCH Calc",'Pivot Table for Fact Book'!$A$3,"State","DE","type",1,"Type2","Four-Year")</f>
        <v>75200</v>
      </c>
      <c r="D49" s="189">
        <f>GETPIVOTDATA("Sum of Old-Tot G SCH Calc",'Pivot Table for Fact Book'!$A$3,"State","DE","type",2,"Type2","Four-Year")</f>
        <v>0</v>
      </c>
      <c r="E49" s="190">
        <f>GETPIVOTDATA("Sum of New-Tot G SCH Calc",'Pivot Table for Fact Book'!$A$3,"State","DE","type",2,"Type2","Four-Year")</f>
        <v>0</v>
      </c>
      <c r="F49" s="189">
        <f>GETPIVOTDATA("Sum of Old-Tot G SCH Calc",'Pivot Table for Fact Book'!$A$3,"State","DE","type",3,"Type2","Four-Year")</f>
        <v>6332</v>
      </c>
      <c r="G49" s="190">
        <f>GETPIVOTDATA("Sum of New-Tot G SCH Calc",'Pivot Table for Fact Book'!$A$3,"State","DE","type",3,"Type2","Four-Year")</f>
        <v>7243</v>
      </c>
      <c r="H49" s="189">
        <f>GETPIVOTDATA("Sum of Old-Tot G SCH Calc",'Pivot Table for Fact Book'!$A$3,"State","DE","type",4,"Type2","Four-Year")</f>
        <v>0</v>
      </c>
      <c r="I49" s="190">
        <f>GETPIVOTDATA("Sum of New-Tot G SCH Calc",'Pivot Table for Fact Book'!$A$3,"State","DE","type",4,"Type2","Four-Year")</f>
        <v>0</v>
      </c>
      <c r="J49" s="189">
        <f>GETPIVOTDATA("Sum of Old-Tot G SCH Calc",'Pivot Table for Fact Book'!$A$3,"State","DE","type",5,"Type2","Four-Year")</f>
        <v>0</v>
      </c>
      <c r="K49" s="190">
        <f>GETPIVOTDATA("Sum of New-Tot G SCH Calc",'Pivot Table for Fact Book'!$A$3,"State","DE","type",5,"Type2","Four-Year")</f>
        <v>0</v>
      </c>
      <c r="L49" s="189">
        <f>GETPIVOTDATA("Sum of Old-Tot G SCH Calc",'Pivot Table for Fact Book'!$A$3,"State","DE","type",6,"Type2","Four-Year")</f>
        <v>0</v>
      </c>
      <c r="M49" s="190">
        <f>GETPIVOTDATA("Sum of New-Tot G SCH Calc",'Pivot Table for Fact Book'!$A$3,"State","DE","type",6,"Type2","Four-Year")</f>
        <v>0</v>
      </c>
      <c r="N49" s="189">
        <f>GETPIVOTDATA("Sum of Old-Tot G SCH Calc",'Pivot Table for Fact Book'!$A$3,"State","DE","type",15,"Type2","Four-Year")</f>
        <v>0</v>
      </c>
      <c r="O49" s="190">
        <f>GETPIVOTDATA("Sum of New-Tot G SCH Calc",'Pivot Table for Fact Book'!$A$3,"State","DE","type",15,"Type2","Four-Year")</f>
        <v>0</v>
      </c>
      <c r="P49" s="191">
        <f>GETPIVOTDATA("Sum of Old-Tot G SCH Calc",'Pivot Table for Fact Book'!$A$3,"State","DE","Type2","Four-Year")</f>
        <v>79745</v>
      </c>
      <c r="Q49" s="191">
        <f>GETPIVOTDATA("Sum of New-Tot G SCH Calc",'Pivot Table for Fact Book'!$A$3,"State","DE","Type2","Four-Year")</f>
        <v>82443</v>
      </c>
    </row>
    <row r="50" spans="1:17">
      <c r="A50" s="202" t="s">
        <v>669</v>
      </c>
      <c r="B50" s="189">
        <f>GETPIVOTDATA("Sum of Old-Tot G SCH Calc",'Pivot Table for Fact Book'!$A$3,"State","FL","type",1,"Type2","Four-Year")</f>
        <v>0</v>
      </c>
      <c r="C50" s="190">
        <f>GETPIVOTDATA("Sum of New-Tot G SCH Calc",'Pivot Table for Fact Book'!$A$3,"State","FL","type",1,"Type2","Four-Year")</f>
        <v>0</v>
      </c>
      <c r="D50" s="189">
        <f>GETPIVOTDATA("Sum of Old-Tot G SCH Calc",'Pivot Table for Fact Book'!$A$3,"State","FL","type",2,"Type2","Four-Year")</f>
        <v>0</v>
      </c>
      <c r="E50" s="190">
        <f>GETPIVOTDATA("Sum of New-Tot G SCH Calc",'Pivot Table for Fact Book'!$A$3,"State","FL","type",2,"Type2","Four-Year")</f>
        <v>0</v>
      </c>
      <c r="F50" s="189">
        <f>GETPIVOTDATA("Sum of Old-Tot G SCH Calc",'Pivot Table for Fact Book'!$A$3,"State","FL","type",3,"Type2","Four-Year")</f>
        <v>0</v>
      </c>
      <c r="G50" s="190">
        <f>GETPIVOTDATA("Sum of New-Tot G SCH Calc",'Pivot Table for Fact Book'!$A$3,"State","FL","type",3,"Type2","Four-Year")</f>
        <v>0</v>
      </c>
      <c r="H50" s="189">
        <f>GETPIVOTDATA("Sum of Old-Tot G SCH Calc",'Pivot Table for Fact Book'!$A$3,"State","FL","type",4,"Type2","Four-Year")</f>
        <v>0</v>
      </c>
      <c r="I50" s="190">
        <f>GETPIVOTDATA("Sum of New-Tot G SCH Calc",'Pivot Table for Fact Book'!$A$3,"State","FL","type",4,"Type2","Four-Year")</f>
        <v>0</v>
      </c>
      <c r="J50" s="189">
        <f>GETPIVOTDATA("Sum of Old-Tot G SCH Calc",'Pivot Table for Fact Book'!$A$3,"State","FL","type",5,"Type2","Four-Year")</f>
        <v>0</v>
      </c>
      <c r="K50" s="190">
        <f>GETPIVOTDATA("Sum of New-Tot G SCH Calc",'Pivot Table for Fact Book'!$A$3,"State","FL","type",5,"Type2","Four-Year")</f>
        <v>0</v>
      </c>
      <c r="L50" s="189">
        <f>GETPIVOTDATA("Sum of Old-Tot G SCH Calc",'Pivot Table for Fact Book'!$A$3,"State","FL","type",6,"Type2","Four-Year")</f>
        <v>0</v>
      </c>
      <c r="M50" s="190">
        <f>GETPIVOTDATA("Sum of New-Tot G SCH Calc",'Pivot Table for Fact Book'!$A$3,"State","FL","type",6,"Type2","Four-Year")</f>
        <v>0</v>
      </c>
      <c r="N50" s="189">
        <f>GETPIVOTDATA("Sum of Old-Tot G SCH Calc",'Pivot Table for Fact Book'!$A$3,"State","FL","type",15,"Type2","Four-Year")</f>
        <v>0</v>
      </c>
      <c r="O50" s="190">
        <f>GETPIVOTDATA("Sum of New-Tot G SCH Calc",'Pivot Table for Fact Book'!$A$3,"State","FL","type",15,"Type2","Four-Year")</f>
        <v>0</v>
      </c>
      <c r="P50" s="191">
        <f>GETPIVOTDATA("Sum of Old-Tot G SCH Calc",'Pivot Table for Fact Book'!$A$3,"State","FL","Type2","Four-Year")</f>
        <v>0</v>
      </c>
      <c r="Q50" s="191">
        <f>GETPIVOTDATA("Sum of New-Tot G SCH Calc",'Pivot Table for Fact Book'!$A$3,"State","FL","Type2","Four-Year")</f>
        <v>0</v>
      </c>
    </row>
    <row r="51" spans="1:17">
      <c r="A51" s="202" t="s">
        <v>670</v>
      </c>
      <c r="B51" s="189">
        <f>GETPIVOTDATA("Sum of Old-Tot G SCH Calc",'Pivot Table for Fact Book'!$A$3,"State","GA","type",1,"Type2","Four-Year")</f>
        <v>497854.9</v>
      </c>
      <c r="C51" s="190">
        <f>GETPIVOTDATA("Sum of New-Tot G SCH Calc",'Pivot Table for Fact Book'!$A$3,"State","GA","type",1,"Type2","Four-Year")</f>
        <v>506143.2</v>
      </c>
      <c r="D51" s="189">
        <f>GETPIVOTDATA("Sum of Old-Tot G SCH Calc",'Pivot Table for Fact Book'!$A$3,"State","GA","type",2,"Type2","Four-Year")</f>
        <v>332827.5</v>
      </c>
      <c r="E51" s="190">
        <f>GETPIVOTDATA("Sum of New-Tot G SCH Calc",'Pivot Table for Fact Book'!$A$3,"State","GA","type",2,"Type2","Four-Year")</f>
        <v>375905.5</v>
      </c>
      <c r="F51" s="189">
        <f>GETPIVOTDATA("Sum of Old-Tot G SCH Calc",'Pivot Table for Fact Book'!$A$3,"State","GA","type",3,"Type2","Four-Year")</f>
        <v>203821</v>
      </c>
      <c r="G51" s="190">
        <f>GETPIVOTDATA("Sum of New-Tot G SCH Calc",'Pivot Table for Fact Book'!$A$3,"State","GA","type",3,"Type2","Four-Year")</f>
        <v>212499.1</v>
      </c>
      <c r="H51" s="189">
        <f>GETPIVOTDATA("Sum of Old-Tot G SCH Calc",'Pivot Table for Fact Book'!$A$3,"State","GA","type",4,"Type2","Four-Year")</f>
        <v>289588.5</v>
      </c>
      <c r="I51" s="190">
        <f>GETPIVOTDATA("Sum of New-Tot G SCH Calc",'Pivot Table for Fact Book'!$A$3,"State","GA","type",4,"Type2","Four-Year")</f>
        <v>297774</v>
      </c>
      <c r="J51" s="189">
        <f>GETPIVOTDATA("Sum of Old-Tot G SCH Calc",'Pivot Table for Fact Book'!$A$3,"State","GA","type",5,"Type2","Four-Year")</f>
        <v>3734</v>
      </c>
      <c r="K51" s="190">
        <f>GETPIVOTDATA("Sum of New-Tot G SCH Calc",'Pivot Table for Fact Book'!$A$3,"State","GA","type",5,"Type2","Four-Year")</f>
        <v>3681</v>
      </c>
      <c r="L51" s="189">
        <f>GETPIVOTDATA("Sum of Old-Tot G SCH Calc",'Pivot Table for Fact Book'!$A$3,"State","GA","type",6,"Type2","Four-Year")</f>
        <v>3639</v>
      </c>
      <c r="M51" s="190">
        <f>GETPIVOTDATA("Sum of New-Tot G SCH Calc",'Pivot Table for Fact Book'!$A$3,"State","GA","type",6,"Type2","Four-Year")</f>
        <v>4734</v>
      </c>
      <c r="N51" s="189">
        <f>GETPIVOTDATA("Sum of Old-Tot G SCH Calc",'Pivot Table for Fact Book'!$A$3,"State","GA","type",15,"Type2","Four-Year")</f>
        <v>0</v>
      </c>
      <c r="O51" s="190">
        <f>GETPIVOTDATA("Sum of New-Tot G SCH Calc",'Pivot Table for Fact Book'!$A$3,"State","GA","type",15,"Type2","Four-Year")</f>
        <v>0</v>
      </c>
      <c r="P51" s="191">
        <f>GETPIVOTDATA("Sum of Old-Tot G SCH Calc",'Pivot Table for Fact Book'!$A$3,"State","GA","Type2","Four-Year")</f>
        <v>1331464.8999999999</v>
      </c>
      <c r="Q51" s="191">
        <f>GETPIVOTDATA("Sum of New-Tot G SCH Calc",'Pivot Table for Fact Book'!$A$3,"State","GA","Type2","Four-Year")</f>
        <v>1400736.8</v>
      </c>
    </row>
    <row r="52" spans="1:17">
      <c r="A52" s="202" t="s">
        <v>671</v>
      </c>
      <c r="B52" s="189">
        <f>GETPIVOTDATA("Sum of Old-Tot G SCH Calc",'Pivot Table for Fact Book'!$A$3,"State","KY","type",1,"Type2","Four-Year")</f>
        <v>164016</v>
      </c>
      <c r="C52" s="190">
        <f>GETPIVOTDATA("Sum of New-Tot G SCH Calc",'Pivot Table for Fact Book'!$A$3,"State","KY","type",1,"Type2","Four-Year")</f>
        <v>162085</v>
      </c>
      <c r="D52" s="189">
        <f>GETPIVOTDATA("Sum of Old-Tot G SCH Calc",'Pivot Table for Fact Book'!$A$3,"State","KY","type",2,"Type2","Four-Year")</f>
        <v>0</v>
      </c>
      <c r="E52" s="190">
        <f>GETPIVOTDATA("Sum of New-Tot G SCH Calc",'Pivot Table for Fact Book'!$A$3,"State","KY","type",2,"Type2","Four-Year")</f>
        <v>0</v>
      </c>
      <c r="F52" s="189">
        <f>GETPIVOTDATA("Sum of Old-Tot G SCH Calc",'Pivot Table for Fact Book'!$A$3,"State","KY","type",3,"Type2","Four-Year")</f>
        <v>154624</v>
      </c>
      <c r="G52" s="190">
        <f>GETPIVOTDATA("Sum of New-Tot G SCH Calc",'Pivot Table for Fact Book'!$A$3,"State","KY","type",3,"Type2","Four-Year")</f>
        <v>168411.5</v>
      </c>
      <c r="H52" s="189">
        <f>GETPIVOTDATA("Sum of Old-Tot G SCH Calc",'Pivot Table for Fact Book'!$A$3,"State","KY","type",4,"Type2","Four-Year")</f>
        <v>1885</v>
      </c>
      <c r="I52" s="190">
        <f>GETPIVOTDATA("Sum of New-Tot G SCH Calc",'Pivot Table for Fact Book'!$A$3,"State","KY","type",4,"Type2","Four-Year")</f>
        <v>1714.5</v>
      </c>
      <c r="J52" s="189">
        <f>GETPIVOTDATA("Sum of Old-Tot G SCH Calc",'Pivot Table for Fact Book'!$A$3,"State","KY","type",5,"Type2","Four-Year")</f>
        <v>0</v>
      </c>
      <c r="K52" s="190">
        <f>GETPIVOTDATA("Sum of New-Tot G SCH Calc",'Pivot Table for Fact Book'!$A$3,"State","KY","type",5,"Type2","Four-Year")</f>
        <v>0</v>
      </c>
      <c r="L52" s="189">
        <f>GETPIVOTDATA("Sum of Old-Tot G SCH Calc",'Pivot Table for Fact Book'!$A$3,"State","KY","type",6,"Type2","Four-Year")</f>
        <v>0</v>
      </c>
      <c r="M52" s="190">
        <f>GETPIVOTDATA("Sum of New-Tot G SCH Calc",'Pivot Table for Fact Book'!$A$3,"State","KY","type",6,"Type2","Four-Year")</f>
        <v>0</v>
      </c>
      <c r="N52" s="189">
        <f>GETPIVOTDATA("Sum of Old-Tot G SCH Calc",'Pivot Table for Fact Book'!$A$3,"State","KY","type",15,"Type2","Four-Year")</f>
        <v>0</v>
      </c>
      <c r="O52" s="190">
        <f>GETPIVOTDATA("Sum of New-Tot G SCH Calc",'Pivot Table for Fact Book'!$A$3,"State","KY","type",15,"Type2","Four-Year")</f>
        <v>0</v>
      </c>
      <c r="P52" s="191">
        <f>GETPIVOTDATA("Sum of Old-Tot G SCH Calc",'Pivot Table for Fact Book'!$A$3,"State","KY","Type2","Four-Year")</f>
        <v>320525</v>
      </c>
      <c r="Q52" s="191">
        <f>GETPIVOTDATA("Sum of New-Tot G SCH Calc",'Pivot Table for Fact Book'!$A$3,"State","KY","Type2","Four-Year")</f>
        <v>332211</v>
      </c>
    </row>
    <row r="53" spans="1:17">
      <c r="A53" s="202" t="s">
        <v>672</v>
      </c>
      <c r="B53" s="189">
        <f>GETPIVOTDATA("Sum of Old-Tot G SCH Calc",'Pivot Table for Fact Book'!$A$3,"State","LA","type",1,"Type2","Four-Year")</f>
        <v>137669.49999999959</v>
      </c>
      <c r="C53" s="190">
        <f>GETPIVOTDATA("Sum of New-Tot G SCH Calc",'Pivot Table for Fact Book'!$A$3,"State","LA","type",1,"Type2","Four-Year")</f>
        <v>143983.50000000038</v>
      </c>
      <c r="D53" s="189">
        <f>GETPIVOTDATA("Sum of Old-Tot G SCH Calc",'Pivot Table for Fact Book'!$A$3,"State","LA","type",2,"Type2","Four-Year")</f>
        <v>78522.999999999927</v>
      </c>
      <c r="E53" s="190">
        <f>GETPIVOTDATA("Sum of New-Tot G SCH Calc",'Pivot Table for Fact Book'!$A$3,"State","LA","type",2,"Type2","Four-Year")</f>
        <v>84068.000000000015</v>
      </c>
      <c r="F53" s="189">
        <f>GETPIVOTDATA("Sum of Old-Tot G SCH Calc",'Pivot Table for Fact Book'!$A$3,"State","LA","type",3,"Type2","Four-Year")</f>
        <v>76911.999999999985</v>
      </c>
      <c r="G53" s="190">
        <f>GETPIVOTDATA("Sum of New-Tot G SCH Calc",'Pivot Table for Fact Book'!$A$3,"State","LA","type",3,"Type2","Four-Year")</f>
        <v>82058.999999999971</v>
      </c>
      <c r="H53" s="189">
        <f>GETPIVOTDATA("Sum of Old-Tot G SCH Calc",'Pivot Table for Fact Book'!$A$3,"State","LA","type",4,"Type2","Four-Year")</f>
        <v>114669.99999999997</v>
      </c>
      <c r="I53" s="190">
        <f>GETPIVOTDATA("Sum of New-Tot G SCH Calc",'Pivot Table for Fact Book'!$A$3,"State","LA","type",4,"Type2","Four-Year")</f>
        <v>140349.00000000003</v>
      </c>
      <c r="J53" s="189">
        <f>GETPIVOTDATA("Sum of Old-Tot G SCH Calc",'Pivot Table for Fact Book'!$A$3,"State","LA","type",5,"Type2","Four-Year")</f>
        <v>9486</v>
      </c>
      <c r="K53" s="190">
        <f>GETPIVOTDATA("Sum of New-Tot G SCH Calc",'Pivot Table for Fact Book'!$A$3,"State","LA","type",5,"Type2","Four-Year")</f>
        <v>8874</v>
      </c>
      <c r="L53" s="189">
        <f>GETPIVOTDATA("Sum of Old-Tot G SCH Calc",'Pivot Table for Fact Book'!$A$3,"State","LA","type",6,"Type2","Four-Year")</f>
        <v>0</v>
      </c>
      <c r="M53" s="190">
        <f>GETPIVOTDATA("Sum of New-Tot G SCH Calc",'Pivot Table for Fact Book'!$A$3,"State","LA","type",6,"Type2","Four-Year")</f>
        <v>0</v>
      </c>
      <c r="N53" s="189">
        <f>GETPIVOTDATA("Sum of Old-Tot G SCH Calc",'Pivot Table for Fact Book'!$A$3,"State","LA","type",15,"Type2","Four-Year")</f>
        <v>17064</v>
      </c>
      <c r="O53" s="190">
        <f>GETPIVOTDATA("Sum of New-Tot G SCH Calc",'Pivot Table for Fact Book'!$A$3,"State","LA","type",15,"Type2","Four-Year")</f>
        <v>17788</v>
      </c>
      <c r="P53" s="191">
        <f>GETPIVOTDATA("Sum of Old-Tot G SCH Calc",'Pivot Table for Fact Book'!$A$3,"State","LA","Type2","Four-Year")</f>
        <v>434324.49999999953</v>
      </c>
      <c r="Q53" s="191">
        <f>GETPIVOTDATA("Sum of New-Tot G SCH Calc",'Pivot Table for Fact Book'!$A$3,"State","LA","Type2","Four-Year")</f>
        <v>477121.50000000035</v>
      </c>
    </row>
    <row r="54" spans="1:17">
      <c r="A54" s="202" t="s">
        <v>673</v>
      </c>
      <c r="B54" s="189">
        <f>GETPIVOTDATA("Sum of Old-Tot G SCH Calc",'Pivot Table for Fact Book'!$A$3,"State","MD","type",1,"Type2","Four-Year")</f>
        <v>159015</v>
      </c>
      <c r="C54" s="190">
        <f>GETPIVOTDATA("Sum of New-Tot G SCH Calc",'Pivot Table for Fact Book'!$A$3,"State","MD","type",1,"Type2","Four-Year")</f>
        <v>154217</v>
      </c>
      <c r="D54" s="189">
        <f>GETPIVOTDATA("Sum of Old-Tot G SCH Calc",'Pivot Table for Fact Book'!$A$3,"State","MD","type",2,"Type2","Four-Year")</f>
        <v>58309</v>
      </c>
      <c r="E54" s="190">
        <f>GETPIVOTDATA("Sum of New-Tot G SCH Calc",'Pivot Table for Fact Book'!$A$3,"State","MD","type",2,"Type2","Four-Year")</f>
        <v>59432</v>
      </c>
      <c r="F54" s="189">
        <f>GETPIVOTDATA("Sum of Old-Tot G SCH Calc",'Pivot Table for Fact Book'!$A$3,"State","MD","type",3,"Type2","Four-Year")</f>
        <v>87960</v>
      </c>
      <c r="G54" s="190">
        <f>GETPIVOTDATA("Sum of New-Tot G SCH Calc",'Pivot Table for Fact Book'!$A$3,"State","MD","type",3,"Type2","Four-Year")</f>
        <v>85378.5</v>
      </c>
      <c r="H54" s="189">
        <f>GETPIVOTDATA("Sum of Old-Tot G SCH Calc",'Pivot Table for Fact Book'!$A$3,"State","MD","type",4,"Type2","Four-Year")</f>
        <v>56775.5</v>
      </c>
      <c r="I54" s="190">
        <f>GETPIVOTDATA("Sum of New-Tot G SCH Calc",'Pivot Table for Fact Book'!$A$3,"State","MD","type",4,"Type2","Four-Year")</f>
        <v>58280.5</v>
      </c>
      <c r="J54" s="189">
        <f>GETPIVOTDATA("Sum of Old-Tot G SCH Calc",'Pivot Table for Fact Book'!$A$3,"State","MD","type",5,"Type2","Four-Year")</f>
        <v>5201</v>
      </c>
      <c r="K54" s="190">
        <f>GETPIVOTDATA("Sum of New-Tot G SCH Calc",'Pivot Table for Fact Book'!$A$3,"State","MD","type",5,"Type2","Four-Year")</f>
        <v>4591</v>
      </c>
      <c r="L54" s="189">
        <f>GETPIVOTDATA("Sum of Old-Tot G SCH Calc",'Pivot Table for Fact Book'!$A$3,"State","MD","type",6,"Type2","Four-Year")</f>
        <v>1333</v>
      </c>
      <c r="M54" s="190">
        <f>GETPIVOTDATA("Sum of New-Tot G SCH Calc",'Pivot Table for Fact Book'!$A$3,"State","MD","type",6,"Type2","Four-Year")</f>
        <v>1122</v>
      </c>
      <c r="N54" s="189">
        <f>GETPIVOTDATA("Sum of Old-Tot G SCH Calc",'Pivot Table for Fact Book'!$A$3,"State","MD","type",15,"Type2","Four-Year")</f>
        <v>261591</v>
      </c>
      <c r="O54" s="190">
        <f>GETPIVOTDATA("Sum of New-Tot G SCH Calc",'Pivot Table for Fact Book'!$A$3,"State","MD","type",15,"Type2","Four-Year")</f>
        <v>244291</v>
      </c>
      <c r="P54" s="191">
        <f>GETPIVOTDATA("Sum of Old-Tot G SCH Calc",'Pivot Table for Fact Book'!$A$3,"State","MD","Type2","Four-Year")</f>
        <v>630184.5</v>
      </c>
      <c r="Q54" s="191">
        <f>GETPIVOTDATA("Sum of New-Tot G SCH Calc",'Pivot Table for Fact Book'!$A$3,"State","MD","Type2","Four-Year")</f>
        <v>607312</v>
      </c>
    </row>
    <row r="55" spans="1:17">
      <c r="A55" s="202" t="s">
        <v>674</v>
      </c>
      <c r="B55" s="189">
        <f>GETPIVOTDATA("Sum of Old-Tot G SCH Calc",'Pivot Table for Fact Book'!$A$3,"State","MS","type",1,"Type2","Four-Year")</f>
        <v>173789</v>
      </c>
      <c r="C55" s="190">
        <f>GETPIVOTDATA("Sum of New-Tot G SCH Calc",'Pivot Table for Fact Book'!$A$3,"State","MS","type",1,"Type2","Four-Year")</f>
        <v>172433</v>
      </c>
      <c r="D55" s="189">
        <f>GETPIVOTDATA("Sum of Old-Tot G SCH Calc",'Pivot Table for Fact Book'!$A$3,"State","MS","type",2,"Type2","Four-Year")</f>
        <v>29347</v>
      </c>
      <c r="E55" s="190">
        <f>GETPIVOTDATA("Sum of New-Tot G SCH Calc",'Pivot Table for Fact Book'!$A$3,"State","MS","type",2,"Type2","Four-Year")</f>
        <v>29693</v>
      </c>
      <c r="F55" s="189">
        <f>GETPIVOTDATA("Sum of Old-Tot G SCH Calc",'Pivot Table for Fact Book'!$A$3,"State","MS","type",3,"Type2","Four-Year")</f>
        <v>0</v>
      </c>
      <c r="G55" s="190">
        <f>GETPIVOTDATA("Sum of New-Tot G SCH Calc",'Pivot Table for Fact Book'!$A$3,"State","MS","type",3,"Type2","Four-Year")</f>
        <v>0</v>
      </c>
      <c r="H55" s="189">
        <f>GETPIVOTDATA("Sum of Old-Tot G SCH Calc",'Pivot Table for Fact Book'!$A$3,"State","MS","type",4,"Type2","Four-Year")</f>
        <v>39930</v>
      </c>
      <c r="I55" s="190">
        <f>GETPIVOTDATA("Sum of New-Tot G SCH Calc",'Pivot Table for Fact Book'!$A$3,"State","MS","type",4,"Type2","Four-Year")</f>
        <v>32955</v>
      </c>
      <c r="J55" s="189">
        <f>GETPIVOTDATA("Sum of Old-Tot G SCH Calc",'Pivot Table for Fact Book'!$A$3,"State","MS","type",5,"Type2","Four-Year")</f>
        <v>0</v>
      </c>
      <c r="K55" s="190">
        <f>GETPIVOTDATA("Sum of New-Tot G SCH Calc",'Pivot Table for Fact Book'!$A$3,"State","MS","type",5,"Type2","Four-Year")</f>
        <v>0</v>
      </c>
      <c r="L55" s="189">
        <f>GETPIVOTDATA("Sum of Old-Tot G SCH Calc",'Pivot Table for Fact Book'!$A$3,"State","MS","type",6,"Type2","Four-Year")</f>
        <v>0</v>
      </c>
      <c r="M55" s="190">
        <f>GETPIVOTDATA("Sum of New-Tot G SCH Calc",'Pivot Table for Fact Book'!$A$3,"State","MS","type",6,"Type2","Four-Year")</f>
        <v>0</v>
      </c>
      <c r="N55" s="189">
        <f>GETPIVOTDATA("Sum of Old-Tot G SCH Calc",'Pivot Table for Fact Book'!$A$3,"State","MS","type",15,"Type2","Four-Year")</f>
        <v>0</v>
      </c>
      <c r="O55" s="190">
        <f>GETPIVOTDATA("Sum of New-Tot G SCH Calc",'Pivot Table for Fact Book'!$A$3,"State","MS","type",15,"Type2","Four-Year")</f>
        <v>0</v>
      </c>
      <c r="P55" s="191">
        <f>GETPIVOTDATA("Sum of Old-Tot G SCH Calc",'Pivot Table for Fact Book'!$A$3,"State","MS","Type2","Four-Year")</f>
        <v>243066</v>
      </c>
      <c r="Q55" s="191">
        <f>GETPIVOTDATA("Sum of New-Tot G SCH Calc",'Pivot Table for Fact Book'!$A$3,"State","MS","Type2","Four-Year")</f>
        <v>235081</v>
      </c>
    </row>
    <row r="56" spans="1:17">
      <c r="A56" s="202" t="s">
        <v>675</v>
      </c>
      <c r="B56" s="189">
        <f>GETPIVOTDATA("Sum of Old-Tot G SCH Calc",'Pivot Table for Fact Book'!$A$3,"State","NC","type",1,"Type2","Four-Year")</f>
        <v>524063</v>
      </c>
      <c r="C56" s="190">
        <f>GETPIVOTDATA("Sum of New-Tot G SCH Calc",'Pivot Table for Fact Book'!$A$3,"State","NC","type",1,"Type2","Four-Year")</f>
        <v>520752.5</v>
      </c>
      <c r="D56" s="189">
        <f>GETPIVOTDATA("Sum of Old-Tot G SCH Calc",'Pivot Table for Fact Book'!$A$3,"State","NC","type",2,"Type2","Four-Year")</f>
        <v>90063</v>
      </c>
      <c r="E56" s="190">
        <f>GETPIVOTDATA("Sum of New-Tot G SCH Calc",'Pivot Table for Fact Book'!$A$3,"State","NC","type",2,"Type2","Four-Year")</f>
        <v>87185</v>
      </c>
      <c r="F56" s="189">
        <f>GETPIVOTDATA("Sum of Old-Tot G SCH Calc",'Pivot Table for Fact Book'!$A$3,"State","NC","type",3,"Type2","Four-Year")</f>
        <v>163582</v>
      </c>
      <c r="G56" s="190">
        <f>GETPIVOTDATA("Sum of New-Tot G SCH Calc",'Pivot Table for Fact Book'!$A$3,"State","NC","type",3,"Type2","Four-Year")</f>
        <v>173820</v>
      </c>
      <c r="H56" s="189">
        <f>GETPIVOTDATA("Sum of Old-Tot G SCH Calc",'Pivot Table for Fact Book'!$A$3,"State","NC","type",4,"Type2","Four-Year")</f>
        <v>14498</v>
      </c>
      <c r="I56" s="190">
        <f>GETPIVOTDATA("Sum of New-Tot G SCH Calc",'Pivot Table for Fact Book'!$A$3,"State","NC","type",4,"Type2","Four-Year")</f>
        <v>14338</v>
      </c>
      <c r="J56" s="189">
        <f>GETPIVOTDATA("Sum of Old-Tot G SCH Calc",'Pivot Table for Fact Book'!$A$3,"State","NC","type",5,"Type2","Four-Year")</f>
        <v>26779</v>
      </c>
      <c r="K56" s="190">
        <f>GETPIVOTDATA("Sum of New-Tot G SCH Calc",'Pivot Table for Fact Book'!$A$3,"State","NC","type",5,"Type2","Four-Year")</f>
        <v>33184</v>
      </c>
      <c r="L56" s="189">
        <f>GETPIVOTDATA("Sum of Old-Tot G SCH Calc",'Pivot Table for Fact Book'!$A$3,"State","NC","type",6,"Type2","Four-Year")</f>
        <v>882</v>
      </c>
      <c r="M56" s="190">
        <f>GETPIVOTDATA("Sum of New-Tot G SCH Calc",'Pivot Table for Fact Book'!$A$3,"State","NC","type",6,"Type2","Four-Year")</f>
        <v>1441</v>
      </c>
      <c r="N56" s="189">
        <f>GETPIVOTDATA("Sum of Old-Tot G SCH Calc",'Pivot Table for Fact Book'!$A$3,"State","NC","type",15,"Type2","Four-Year")</f>
        <v>3726</v>
      </c>
      <c r="O56" s="190">
        <f>GETPIVOTDATA("Sum of New-Tot G SCH Calc",'Pivot Table for Fact Book'!$A$3,"State","NC","type",15,"Type2","Four-Year")</f>
        <v>3822</v>
      </c>
      <c r="P56" s="191">
        <f>GETPIVOTDATA("Sum of Old-Tot G SCH Calc",'Pivot Table for Fact Book'!$A$3,"State","NC","Type2","Four-Year")</f>
        <v>823593</v>
      </c>
      <c r="Q56" s="191">
        <f>GETPIVOTDATA("Sum of New-Tot G SCH Calc",'Pivot Table for Fact Book'!$A$3,"State","NC","Type2","Four-Year")</f>
        <v>834542.5</v>
      </c>
    </row>
    <row r="57" spans="1:17">
      <c r="A57" s="202" t="s">
        <v>676</v>
      </c>
      <c r="B57" s="189">
        <f>GETPIVOTDATA("Sum of Old-Tot G SCH Calc",'Pivot Table for Fact Book'!$A$3,"State","OK","type",1,"Type2","Four-Year")</f>
        <v>224720</v>
      </c>
      <c r="C57" s="190">
        <f>GETPIVOTDATA("Sum of New-Tot G SCH Calc",'Pivot Table for Fact Book'!$A$3,"State","OK","type",1,"Type2","Four-Year")</f>
        <v>241379</v>
      </c>
      <c r="D57" s="189">
        <f>GETPIVOTDATA("Sum of Old-Tot G SCH Calc",'Pivot Table for Fact Book'!$A$3,"State","OK","type",2,"Type2","Four-Year")</f>
        <v>0</v>
      </c>
      <c r="E57" s="190">
        <f>GETPIVOTDATA("Sum of New-Tot G SCH Calc",'Pivot Table for Fact Book'!$A$3,"State","OK","type",2,"Type2","Four-Year")</f>
        <v>0</v>
      </c>
      <c r="F57" s="189">
        <f>GETPIVOTDATA("Sum of Old-Tot G SCH Calc",'Pivot Table for Fact Book'!$A$3,"State","OK","type",3,"Type2","Four-Year")</f>
        <v>44898</v>
      </c>
      <c r="G57" s="190">
        <f>GETPIVOTDATA("Sum of New-Tot G SCH Calc",'Pivot Table for Fact Book'!$A$3,"State","OK","type",3,"Type2","Four-Year")</f>
        <v>45109</v>
      </c>
      <c r="H57" s="189">
        <f>GETPIVOTDATA("Sum of Old-Tot G SCH Calc",'Pivot Table for Fact Book'!$A$3,"State","OK","type",4,"Type2","Four-Year")</f>
        <v>37876</v>
      </c>
      <c r="I57" s="190">
        <f>GETPIVOTDATA("Sum of New-Tot G SCH Calc",'Pivot Table for Fact Book'!$A$3,"State","OK","type",4,"Type2","Four-Year")</f>
        <v>40810</v>
      </c>
      <c r="J57" s="189">
        <f>GETPIVOTDATA("Sum of Old-Tot G SCH Calc",'Pivot Table for Fact Book'!$A$3,"State","OK","type",5,"Type2","Four-Year")</f>
        <v>24576</v>
      </c>
      <c r="K57" s="190">
        <f>GETPIVOTDATA("Sum of New-Tot G SCH Calc",'Pivot Table for Fact Book'!$A$3,"State","OK","type",5,"Type2","Four-Year")</f>
        <v>23780</v>
      </c>
      <c r="L57" s="189">
        <f>GETPIVOTDATA("Sum of Old-Tot G SCH Calc",'Pivot Table for Fact Book'!$A$3,"State","OK","type",6,"Type2","Four-Year")</f>
        <v>459</v>
      </c>
      <c r="M57" s="190">
        <f>GETPIVOTDATA("Sum of New-Tot G SCH Calc",'Pivot Table for Fact Book'!$A$3,"State","OK","type",6,"Type2","Four-Year")</f>
        <v>402</v>
      </c>
      <c r="N57" s="189">
        <f>GETPIVOTDATA("Sum of Old-Tot G SCH Calc",'Pivot Table for Fact Book'!$A$3,"State","OK","type",15,"Type2","Four-Year")</f>
        <v>0</v>
      </c>
      <c r="O57" s="190">
        <f>GETPIVOTDATA("Sum of New-Tot G SCH Calc",'Pivot Table for Fact Book'!$A$3,"State","OK","type",15,"Type2","Four-Year")</f>
        <v>0</v>
      </c>
      <c r="P57" s="191">
        <f>GETPIVOTDATA("Sum of Old-Tot G SCH Calc",'Pivot Table for Fact Book'!$A$3,"State","OK","Type2","Four-Year")</f>
        <v>332529</v>
      </c>
      <c r="Q57" s="191">
        <f>GETPIVOTDATA("Sum of New-Tot G SCH Calc",'Pivot Table for Fact Book'!$A$3,"State","OK","Type2","Four-Year")</f>
        <v>351480</v>
      </c>
    </row>
    <row r="58" spans="1:17">
      <c r="A58" s="202" t="s">
        <v>677</v>
      </c>
      <c r="B58" s="189">
        <f>GETPIVOTDATA("Sum of Old-Tot G SCH Calc",'Pivot Table for Fact Book'!$A$3,"State","SC","type",1,"Type2","Four-Year")</f>
        <v>263420</v>
      </c>
      <c r="C58" s="190">
        <f>GETPIVOTDATA("Sum of New-Tot G SCH Calc",'Pivot Table for Fact Book'!$A$3,"State","SC","type",1,"Type2","Four-Year")</f>
        <v>272284</v>
      </c>
      <c r="D58" s="189">
        <f>GETPIVOTDATA("Sum of Old-Tot G SCH Calc",'Pivot Table for Fact Book'!$A$3,"State","SC","type",2,"Type2","Four-Year")</f>
        <v>0</v>
      </c>
      <c r="E58" s="190">
        <f>GETPIVOTDATA("Sum of New-Tot G SCH Calc",'Pivot Table for Fact Book'!$A$3,"State","SC","type",2,"Type2","Four-Year")</f>
        <v>0</v>
      </c>
      <c r="F58" s="189">
        <f>GETPIVOTDATA("Sum of Old-Tot G SCH Calc",'Pivot Table for Fact Book'!$A$3,"State","SC","type",3,"Type2","Four-Year")</f>
        <v>41405.5</v>
      </c>
      <c r="G58" s="190">
        <f>GETPIVOTDATA("Sum of New-Tot G SCH Calc",'Pivot Table for Fact Book'!$A$3,"State","SC","type",3,"Type2","Four-Year")</f>
        <v>42467</v>
      </c>
      <c r="H58" s="189">
        <f>GETPIVOTDATA("Sum of Old-Tot G SCH Calc",'Pivot Table for Fact Book'!$A$3,"State","SC","type",4,"Type2","Four-Year")</f>
        <v>13125</v>
      </c>
      <c r="I58" s="190">
        <f>GETPIVOTDATA("Sum of New-Tot G SCH Calc",'Pivot Table for Fact Book'!$A$3,"State","SC","type",4,"Type2","Four-Year")</f>
        <v>12890</v>
      </c>
      <c r="J58" s="189">
        <f>GETPIVOTDATA("Sum of Old-Tot G SCH Calc",'Pivot Table for Fact Book'!$A$3,"State","SC","type",5,"Type2","Four-Year")</f>
        <v>16280</v>
      </c>
      <c r="K58" s="190">
        <f>GETPIVOTDATA("Sum of New-Tot G SCH Calc",'Pivot Table for Fact Book'!$A$3,"State","SC","type",5,"Type2","Four-Year")</f>
        <v>12696</v>
      </c>
      <c r="L58" s="189">
        <f>GETPIVOTDATA("Sum of Old-Tot G SCH Calc",'Pivot Table for Fact Book'!$A$3,"State","SC","type",6,"Type2","Four-Year")</f>
        <v>4856</v>
      </c>
      <c r="M58" s="190">
        <f>GETPIVOTDATA("Sum of New-Tot G SCH Calc",'Pivot Table for Fact Book'!$A$3,"State","SC","type",6,"Type2","Four-Year")</f>
        <v>13161</v>
      </c>
      <c r="N58" s="189">
        <f>GETPIVOTDATA("Sum of Old-Tot G SCH Calc",'Pivot Table for Fact Book'!$A$3,"State","SC","type",15,"Type2","Four-Year")</f>
        <v>0</v>
      </c>
      <c r="O58" s="190">
        <f>GETPIVOTDATA("Sum of New-Tot G SCH Calc",'Pivot Table for Fact Book'!$A$3,"State","SC","type",15,"Type2","Four-Year")</f>
        <v>0</v>
      </c>
      <c r="P58" s="191">
        <f>GETPIVOTDATA("Sum of Old-Tot G SCH Calc",'Pivot Table for Fact Book'!$A$3,"State","SC","Type2","Four-Year")</f>
        <v>339086.5</v>
      </c>
      <c r="Q58" s="191">
        <f>GETPIVOTDATA("Sum of New-Tot G SCH Calc",'Pivot Table for Fact Book'!$A$3,"State","SC","Type2","Four-Year")</f>
        <v>353498</v>
      </c>
    </row>
    <row r="59" spans="1:17">
      <c r="A59" s="202" t="s">
        <v>678</v>
      </c>
      <c r="B59" s="189">
        <f>GETPIVOTDATA("Sum of Old-Tot G SCH Calc",'Pivot Table for Fact Book'!$A$3,"State","TN","type",1,"Type2","Four-Year")</f>
        <v>151272</v>
      </c>
      <c r="C59" s="190">
        <f>GETPIVOTDATA("Sum of New-Tot G SCH Calc",'Pivot Table for Fact Book'!$A$3,"State","TN","type",1,"Type2","Four-Year")</f>
        <v>155219</v>
      </c>
      <c r="D59" s="189">
        <f>GETPIVOTDATA("Sum of Old-Tot G SCH Calc",'Pivot Table for Fact Book'!$A$3,"State","TN","type",2,"Type2","Four-Year")</f>
        <v>103954</v>
      </c>
      <c r="E59" s="190">
        <f>GETPIVOTDATA("Sum of New-Tot G SCH Calc",'Pivot Table for Fact Book'!$A$3,"State","TN","type",2,"Type2","Four-Year")</f>
        <v>103832</v>
      </c>
      <c r="F59" s="189">
        <f>GETPIVOTDATA("Sum of Old-Tot G SCH Calc",'Pivot Table for Fact Book'!$A$3,"State","TN","type",3,"Type2","Four-Year")</f>
        <v>60961</v>
      </c>
      <c r="G59" s="190">
        <f>GETPIVOTDATA("Sum of New-Tot G SCH Calc",'Pivot Table for Fact Book'!$A$3,"State","TN","type",3,"Type2","Four-Year")</f>
        <v>62297</v>
      </c>
      <c r="H59" s="189">
        <f>GETPIVOTDATA("Sum of Old-Tot G SCH Calc",'Pivot Table for Fact Book'!$A$3,"State","TN","type",4,"Type2","Four-Year")</f>
        <v>0</v>
      </c>
      <c r="I59" s="190">
        <f>GETPIVOTDATA("Sum of New-Tot G SCH Calc",'Pivot Table for Fact Book'!$A$3,"State","TN","type",4,"Type2","Four-Year")</f>
        <v>0</v>
      </c>
      <c r="J59" s="189">
        <f>GETPIVOTDATA("Sum of Old-Tot G SCH Calc",'Pivot Table for Fact Book'!$A$3,"State","TN","type",5,"Type2","Four-Year")</f>
        <v>5602</v>
      </c>
      <c r="K59" s="190">
        <f>GETPIVOTDATA("Sum of New-Tot G SCH Calc",'Pivot Table for Fact Book'!$A$3,"State","TN","type",5,"Type2","Four-Year")</f>
        <v>6765</v>
      </c>
      <c r="L59" s="189">
        <f>GETPIVOTDATA("Sum of Old-Tot G SCH Calc",'Pivot Table for Fact Book'!$A$3,"State","TN","type",6,"Type2","Four-Year")</f>
        <v>0</v>
      </c>
      <c r="M59" s="190">
        <f>GETPIVOTDATA("Sum of New-Tot G SCH Calc",'Pivot Table for Fact Book'!$A$3,"State","TN","type",6,"Type2","Four-Year")</f>
        <v>0</v>
      </c>
      <c r="N59" s="189">
        <f>GETPIVOTDATA("Sum of Old-Tot G SCH Calc",'Pivot Table for Fact Book'!$A$3,"State","TN","type",15,"Type2","Four-Year")</f>
        <v>0</v>
      </c>
      <c r="O59" s="190">
        <f>GETPIVOTDATA("Sum of New-Tot G SCH Calc",'Pivot Table for Fact Book'!$A$3,"State","TN","type",15,"Type2","Four-Year")</f>
        <v>0</v>
      </c>
      <c r="P59" s="191">
        <f>GETPIVOTDATA("Sum of Old-Tot G SCH Calc",'Pivot Table for Fact Book'!$A$3,"State","TN","Type2","Four-Year")</f>
        <v>321789</v>
      </c>
      <c r="Q59" s="191">
        <f>GETPIVOTDATA("Sum of New-Tot G SCH Calc",'Pivot Table for Fact Book'!$A$3,"State","TN","Type2","Four-Year")</f>
        <v>328113</v>
      </c>
    </row>
    <row r="60" spans="1:17">
      <c r="A60" s="202" t="s">
        <v>679</v>
      </c>
      <c r="B60" s="189">
        <f>GETPIVOTDATA("Sum of Old-Tot G SCH Calc",'Pivot Table for Fact Book'!$A$3,"State","TX","type",1,"Type2","Four-Year")</f>
        <v>0</v>
      </c>
      <c r="C60" s="190">
        <f>GETPIVOTDATA("Sum of New-Tot G SCH Calc",'Pivot Table for Fact Book'!$A$3,"State","TX","type",1,"Type2","Four-Year")</f>
        <v>0</v>
      </c>
      <c r="D60" s="189">
        <f>GETPIVOTDATA("Sum of Old-Tot G SCH Calc",'Pivot Table for Fact Book'!$A$3,"State","TX","type",2,"Type2","Four-Year")</f>
        <v>0</v>
      </c>
      <c r="E60" s="190">
        <f>GETPIVOTDATA("Sum of New-Tot G SCH Calc",'Pivot Table for Fact Book'!$A$3,"State","TX","type",2,"Type2","Four-Year")</f>
        <v>0</v>
      </c>
      <c r="F60" s="189">
        <f>GETPIVOTDATA("Sum of Old-Tot G SCH Calc",'Pivot Table for Fact Book'!$A$3,"State","TX","type",3,"Type2","Four-Year")</f>
        <v>0</v>
      </c>
      <c r="G60" s="190">
        <f>GETPIVOTDATA("Sum of New-Tot G SCH Calc",'Pivot Table for Fact Book'!$A$3,"State","TX","type",3,"Type2","Four-Year")</f>
        <v>0</v>
      </c>
      <c r="H60" s="189">
        <f>GETPIVOTDATA("Sum of Old-Tot G SCH Calc",'Pivot Table for Fact Book'!$A$3,"State","TX","type",4,"Type2","Four-Year")</f>
        <v>0</v>
      </c>
      <c r="I60" s="190">
        <f>GETPIVOTDATA("Sum of New-Tot G SCH Calc",'Pivot Table for Fact Book'!$A$3,"State","TX","type",4,"Type2","Four-Year")</f>
        <v>0</v>
      </c>
      <c r="J60" s="189">
        <f>GETPIVOTDATA("Sum of Old-Tot G SCH Calc",'Pivot Table for Fact Book'!$A$3,"State","TX","type",5,"Type2","Four-Year")</f>
        <v>0</v>
      </c>
      <c r="K60" s="190">
        <f>GETPIVOTDATA("Sum of New-Tot G SCH Calc",'Pivot Table for Fact Book'!$A$3,"State","TX","type",5,"Type2","Four-Year")</f>
        <v>0</v>
      </c>
      <c r="L60" s="189">
        <f>GETPIVOTDATA("Sum of Old-Tot G SCH Calc",'Pivot Table for Fact Book'!$A$3,"State","TX","type",6,"Type2","Four-Year")</f>
        <v>0</v>
      </c>
      <c r="M60" s="190">
        <f>GETPIVOTDATA("Sum of New-Tot G SCH Calc",'Pivot Table for Fact Book'!$A$3,"State","TX","type",6,"Type2","Four-Year")</f>
        <v>0</v>
      </c>
      <c r="N60" s="189">
        <f>GETPIVOTDATA("Sum of Old-Tot G SCH Calc",'Pivot Table for Fact Book'!$A$3,"State","TX","type",15,"Type2","Four-Year")</f>
        <v>0</v>
      </c>
      <c r="O60" s="190">
        <f>GETPIVOTDATA("Sum of New-Tot G SCH Calc",'Pivot Table for Fact Book'!$A$3,"State","TX","type",15,"Type2","Four-Year")</f>
        <v>0</v>
      </c>
      <c r="P60" s="191">
        <f>GETPIVOTDATA("Sum of Old-Tot G SCH Calc",'Pivot Table for Fact Book'!$A$3,"State","TX","Type2","Four-Year")</f>
        <v>0</v>
      </c>
      <c r="Q60" s="191">
        <f>GETPIVOTDATA("Sum of New-Tot G SCH Calc",'Pivot Table for Fact Book'!$A$3,"State","TX","Type2","Four-Year")</f>
        <v>0</v>
      </c>
    </row>
    <row r="61" spans="1:17">
      <c r="A61" s="202" t="s">
        <v>680</v>
      </c>
      <c r="B61" s="189">
        <f>GETPIVOTDATA("Sum of Old-Tot G SCH Calc",'Pivot Table for Fact Book'!$A$3,"State","VA","type",1,"Type2","Four-Year")</f>
        <v>709963</v>
      </c>
      <c r="C61" s="190">
        <f>GETPIVOTDATA("Sum of New-Tot G SCH Calc",'Pivot Table for Fact Book'!$A$3,"State","VA","type",1,"Type2","Four-Year")</f>
        <v>714323</v>
      </c>
      <c r="D61" s="189">
        <f>GETPIVOTDATA("Sum of Old-Tot G SCH Calc",'Pivot Table for Fact Book'!$A$3,"State","VA","type",2,"Type2","Four-Year")</f>
        <v>61312.5</v>
      </c>
      <c r="E61" s="190">
        <f>GETPIVOTDATA("Sum of New-Tot G SCH Calc",'Pivot Table for Fact Book'!$A$3,"State","VA","type",2,"Type2","Four-Year")</f>
        <v>59874</v>
      </c>
      <c r="F61" s="189">
        <f>GETPIVOTDATA("Sum of Old-Tot G SCH Calc",'Pivot Table for Fact Book'!$A$3,"State","VA","type",3,"Type2","Four-Year")</f>
        <v>90711.4</v>
      </c>
      <c r="G61" s="190">
        <f>GETPIVOTDATA("Sum of New-Tot G SCH Calc",'Pivot Table for Fact Book'!$A$3,"State","VA","type",3,"Type2","Four-Year")</f>
        <v>97477</v>
      </c>
      <c r="H61" s="189">
        <f>GETPIVOTDATA("Sum of Old-Tot G SCH Calc",'Pivot Table for Fact Book'!$A$3,"State","VA","type",4,"Type2","Four-Year")</f>
        <v>0</v>
      </c>
      <c r="I61" s="190">
        <f>GETPIVOTDATA("Sum of New-Tot G SCH Calc",'Pivot Table for Fact Book'!$A$3,"State","VA","type",4,"Type2","Four-Year")</f>
        <v>0</v>
      </c>
      <c r="J61" s="189">
        <f>GETPIVOTDATA("Sum of Old-Tot G SCH Calc",'Pivot Table for Fact Book'!$A$3,"State","VA","type",5,"Type2","Four-Year")</f>
        <v>3022</v>
      </c>
      <c r="K61" s="190">
        <f>GETPIVOTDATA("Sum of New-Tot G SCH Calc",'Pivot Table for Fact Book'!$A$3,"State","VA","type",5,"Type2","Four-Year")</f>
        <v>2591</v>
      </c>
      <c r="L61" s="189">
        <f>GETPIVOTDATA("Sum of Old-Tot G SCH Calc",'Pivot Table for Fact Book'!$A$3,"State","VA","type",6,"Type2","Four-Year")</f>
        <v>0</v>
      </c>
      <c r="M61" s="190">
        <f>GETPIVOTDATA("Sum of New-Tot G SCH Calc",'Pivot Table for Fact Book'!$A$3,"State","VA","type",6,"Type2","Four-Year")</f>
        <v>0</v>
      </c>
      <c r="N61" s="189">
        <f>GETPIVOTDATA("Sum of Old-Tot G SCH Calc",'Pivot Table for Fact Book'!$A$3,"State","VA","type",15,"Type2","Four-Year")</f>
        <v>0</v>
      </c>
      <c r="O61" s="190">
        <f>GETPIVOTDATA("Sum of New-Tot G SCH Calc",'Pivot Table for Fact Book'!$A$3,"State","VA","type",15,"Type2","Four-Year")</f>
        <v>0</v>
      </c>
      <c r="P61" s="191">
        <f>GETPIVOTDATA("Sum of Old-Tot G SCH Calc",'Pivot Table for Fact Book'!$A$3,"State","VA","Type2","Four-Year")</f>
        <v>865008.9</v>
      </c>
      <c r="Q61" s="191">
        <f>GETPIVOTDATA("Sum of New-Tot G SCH Calc",'Pivot Table for Fact Book'!$A$3,"State","VA","Type2","Four-Year")</f>
        <v>874265</v>
      </c>
    </row>
    <row r="62" spans="1:17">
      <c r="A62" s="223" t="s">
        <v>681</v>
      </c>
      <c r="B62" s="195">
        <f>GETPIVOTDATA("Sum of Old-Tot G SCH Calc",'Pivot Table for Fact Book'!$A$3,"State","WV","type",1,"Type2","Four-Year")</f>
        <v>86140</v>
      </c>
      <c r="C62" s="196">
        <f>GETPIVOTDATA("Sum of New-Tot G SCH Calc",'Pivot Table for Fact Book'!$A$3,"State","WV","type",1,"Type2","Four-Year")</f>
        <v>85974</v>
      </c>
      <c r="D62" s="195">
        <f>GETPIVOTDATA("Sum of Old-Tot G SCH Calc",'Pivot Table for Fact Book'!$A$3,"State","WV","type",2,"Type2","Four-Year")</f>
        <v>0</v>
      </c>
      <c r="E62" s="196">
        <f>GETPIVOTDATA("Sum of New-Tot G SCH Calc",'Pivot Table for Fact Book'!$A$3,"State","WV","type",2,"Type2","Four-Year")</f>
        <v>0</v>
      </c>
      <c r="F62" s="195">
        <f>GETPIVOTDATA("Sum of Old-Tot G SCH Calc",'Pivot Table for Fact Book'!$A$3,"State","WV","type",3,"Type2","Four-Year")</f>
        <v>67756</v>
      </c>
      <c r="G62" s="196">
        <f>GETPIVOTDATA("Sum of New-Tot G SCH Calc",'Pivot Table for Fact Book'!$A$3,"State","WV","type",3,"Type2","Four-Year")</f>
        <v>64539</v>
      </c>
      <c r="H62" s="195">
        <f>GETPIVOTDATA("Sum of Old-Tot G SCH Calc",'Pivot Table for Fact Book'!$A$3,"State","WV","type",4,"Type2","Four-Year")</f>
        <v>0</v>
      </c>
      <c r="I62" s="196">
        <f>GETPIVOTDATA("Sum of New-Tot G SCH Calc",'Pivot Table for Fact Book'!$A$3,"State","WV","type",4,"Type2","Four-Year")</f>
        <v>0</v>
      </c>
      <c r="J62" s="195">
        <f>GETPIVOTDATA("Sum of Old-Tot G SCH Calc",'Pivot Table for Fact Book'!$A$3,"State","WV","type",5,"Type2","Four-Year")</f>
        <v>22298</v>
      </c>
      <c r="K62" s="196">
        <f>GETPIVOTDATA("Sum of New-Tot G SCH Calc",'Pivot Table for Fact Book'!$A$3,"State","WV","type",5,"Type2","Four-Year")</f>
        <v>23089</v>
      </c>
      <c r="L62" s="195">
        <f>GETPIVOTDATA("Sum of Old-Tot G SCH Calc",'Pivot Table for Fact Book'!$A$3,"State","WV","type",6,"Type2","Four-Year")</f>
        <v>2304</v>
      </c>
      <c r="M62" s="196">
        <f>GETPIVOTDATA("Sum of New-Tot G SCH Calc",'Pivot Table for Fact Book'!$A$3,"State","WV","type",6,"Type2","Four-Year")</f>
        <v>2419</v>
      </c>
      <c r="N62" s="195">
        <f>GETPIVOTDATA("Sum of Old-Tot G SCH Calc",'Pivot Table for Fact Book'!$A$3,"State","WV","type",15,"Type2","Four-Year")</f>
        <v>0</v>
      </c>
      <c r="O62" s="196">
        <f>GETPIVOTDATA("Sum of New-Tot G SCH Calc",'Pivot Table for Fact Book'!$A$3,"State","WV","type",15,"Type2","Four-Year")</f>
        <v>0</v>
      </c>
      <c r="P62" s="197">
        <f>GETPIVOTDATA("Sum of Old-Tot G SCH Calc",'Pivot Table for Fact Book'!$A$3,"State","WV","Type2","Four-Year")</f>
        <v>178498</v>
      </c>
      <c r="Q62" s="197">
        <f>GETPIVOTDATA("Sum of New-Tot G SCH Calc",'Pivot Table for Fact Book'!$A$3,"State","WV","Type2","Four-Year")</f>
        <v>176021</v>
      </c>
    </row>
    <row r="64" spans="1:17">
      <c r="A64" s="201" t="s">
        <v>684</v>
      </c>
    </row>
    <row r="65" spans="1:17">
      <c r="B65" s="203" t="s">
        <v>662</v>
      </c>
      <c r="C65" s="204"/>
      <c r="D65" s="204"/>
      <c r="E65" s="204"/>
      <c r="F65" s="204"/>
      <c r="G65" s="204"/>
      <c r="H65" s="204"/>
      <c r="I65" s="204"/>
      <c r="J65" s="204"/>
      <c r="K65" s="204"/>
      <c r="L65" s="204"/>
      <c r="M65" s="204"/>
      <c r="N65" s="204"/>
      <c r="O65" s="204"/>
      <c r="P65" s="204"/>
      <c r="Q65" s="204"/>
    </row>
    <row r="66" spans="1:17">
      <c r="B66" s="209">
        <v>1</v>
      </c>
      <c r="C66" s="210"/>
      <c r="D66" s="209">
        <v>2</v>
      </c>
      <c r="E66" s="210"/>
      <c r="F66" s="209">
        <v>3</v>
      </c>
      <c r="G66" s="210"/>
      <c r="H66" s="209">
        <v>4</v>
      </c>
      <c r="I66" s="210"/>
      <c r="J66" s="209">
        <v>5</v>
      </c>
      <c r="K66" s="210"/>
      <c r="L66" s="209">
        <v>6</v>
      </c>
      <c r="M66" s="210"/>
      <c r="N66" s="209">
        <v>15</v>
      </c>
      <c r="O66" s="210"/>
      <c r="P66" s="209" t="s">
        <v>665</v>
      </c>
      <c r="Q66" s="211"/>
    </row>
    <row r="67" spans="1:17" s="225" customFormat="1">
      <c r="A67" s="224"/>
      <c r="B67" s="217">
        <v>2018</v>
      </c>
      <c r="C67" s="218">
        <v>2019</v>
      </c>
      <c r="D67" s="217">
        <v>2018</v>
      </c>
      <c r="E67" s="218">
        <v>2019</v>
      </c>
      <c r="F67" s="217">
        <v>2018</v>
      </c>
      <c r="G67" s="218">
        <v>2019</v>
      </c>
      <c r="H67" s="217">
        <v>2018</v>
      </c>
      <c r="I67" s="218">
        <v>2019</v>
      </c>
      <c r="J67" s="217">
        <v>2018</v>
      </c>
      <c r="K67" s="218">
        <v>2019</v>
      </c>
      <c r="L67" s="217">
        <v>2018</v>
      </c>
      <c r="M67" s="218">
        <v>2019</v>
      </c>
      <c r="N67" s="217">
        <v>2018</v>
      </c>
      <c r="O67" s="218">
        <v>2019</v>
      </c>
      <c r="P67" s="217">
        <v>2018</v>
      </c>
      <c r="Q67" s="218">
        <v>2019</v>
      </c>
    </row>
    <row r="68" spans="1:17">
      <c r="A68" s="202" t="s">
        <v>666</v>
      </c>
      <c r="B68" s="189">
        <f>GETPIVOTDATA("Sum of Old G E-Learning",'Pivot Table for Fact Book'!$A$3,"State","AL","type",1,"Type2","Four-Year")</f>
        <v>68566</v>
      </c>
      <c r="C68" s="190">
        <f>GETPIVOTDATA("Sum of New G E-Learning",'Pivot Table for Fact Book'!$A$3,"State","AL","type",1,"Type2","Four-Year")</f>
        <v>69470</v>
      </c>
      <c r="D68" s="189">
        <f>GETPIVOTDATA("Sum of Old G E-Learning",'Pivot Table for Fact Book'!$A$3,"State","AL","type",2,"Type2","Four-Year")</f>
        <v>14784</v>
      </c>
      <c r="E68" s="190">
        <f>GETPIVOTDATA("Sum of New G E-Learning",'Pivot Table for Fact Book'!$A$3,"State","AL","type",2,"Type2","Four-Year")</f>
        <v>15915</v>
      </c>
      <c r="F68" s="189">
        <f>GETPIVOTDATA("Sum of Old G E-Learning",'Pivot Table for Fact Book'!$A$3,"State","AL","type",3,"Type2","Four-Year")</f>
        <v>51599</v>
      </c>
      <c r="G68" s="190">
        <f>GETPIVOTDATA("Sum of New G E-Learning",'Pivot Table for Fact Book'!$A$3,"State","AL","type",3,"Type2","Four-Year")</f>
        <v>60196</v>
      </c>
      <c r="H68" s="189">
        <f>GETPIVOTDATA("Sum of Old G E-Learning",'Pivot Table for Fact Book'!$A$3,"State","AL","type",4,"Type2","Four-Year")</f>
        <v>8530</v>
      </c>
      <c r="I68" s="190">
        <f>GETPIVOTDATA("Sum of New G E-Learning",'Pivot Table for Fact Book'!$A$3,"State","AL","type",4,"Type2","Four-Year")</f>
        <v>8023</v>
      </c>
      <c r="J68" s="189">
        <f>GETPIVOTDATA("Sum of Old G E-Learning",'Pivot Table for Fact Book'!$A$3,"State","AL","type",5,"Type2","Four-Year")</f>
        <v>54109</v>
      </c>
      <c r="K68" s="190">
        <f>GETPIVOTDATA("Sum of New G E-Learning",'Pivot Table for Fact Book'!$A$3,"State","AL","type",5,"Type2","Four-Year")</f>
        <v>65454</v>
      </c>
      <c r="L68" s="189">
        <f>GETPIVOTDATA("Sum of Old G E-Learning",'Pivot Table for Fact Book'!$A$3,"State","AL","type",6,"Type2","Four-Year")</f>
        <v>2346</v>
      </c>
      <c r="M68" s="190">
        <f>GETPIVOTDATA("Sum of New G E-Learning",'Pivot Table for Fact Book'!$A$3,"State","AL","type",6,"Type2","Four-Year")</f>
        <v>2400</v>
      </c>
      <c r="N68" s="189">
        <f>GETPIVOTDATA("Sum of Old G E-Learning",'Pivot Table for Fact Book'!$A$3,"State","AL","type",15,"Type2","Four-Year")</f>
        <v>0</v>
      </c>
      <c r="O68" s="190">
        <f>GETPIVOTDATA("Sum of New G E-Learning",'Pivot Table for Fact Book'!$A$3,"State","AL","type",15,"Type2","Four-Year")</f>
        <v>0</v>
      </c>
      <c r="P68" s="191">
        <f>GETPIVOTDATA("Sum of Old G E-Learning",'Pivot Table for Fact Book'!$A$3,"State","AL","Type2","Four-Year")</f>
        <v>199934</v>
      </c>
      <c r="Q68" s="191">
        <f>GETPIVOTDATA("Sum of New G E-Learning",'Pivot Table for Fact Book'!$A$3,"State","AL","Type2","Four-Year")</f>
        <v>221458</v>
      </c>
    </row>
    <row r="69" spans="1:17">
      <c r="A69" s="202" t="s">
        <v>667</v>
      </c>
      <c r="B69" s="189">
        <f>GETPIVOTDATA("Sum of Old G E-Learning",'Pivot Table for Fact Book'!$A$3,"State","AR","type",1,"Type2","Four-Year")</f>
        <v>25302</v>
      </c>
      <c r="C69" s="190">
        <f>GETPIVOTDATA("Sum of New G E-Learning",'Pivot Table for Fact Book'!$A$3,"State","AR","type",1,"Type2","Four-Year")</f>
        <v>24966</v>
      </c>
      <c r="D69" s="189">
        <f>GETPIVOTDATA("Sum of Old G E-Learning",'Pivot Table for Fact Book'!$A$3,"State","AR","type",2,"Type2","Four-Year")</f>
        <v>12446</v>
      </c>
      <c r="E69" s="190">
        <f>GETPIVOTDATA("Sum of New G E-Learning",'Pivot Table for Fact Book'!$A$3,"State","AR","type",2,"Type2","Four-Year")</f>
        <v>11878</v>
      </c>
      <c r="F69" s="189">
        <f>GETPIVOTDATA("Sum of Old G E-Learning",'Pivot Table for Fact Book'!$A$3,"State","AR","type",3,"Type2","Four-Year")</f>
        <v>104393</v>
      </c>
      <c r="G69" s="190">
        <f>GETPIVOTDATA("Sum of New G E-Learning",'Pivot Table for Fact Book'!$A$3,"State","AR","type",3,"Type2","Four-Year")</f>
        <v>106855</v>
      </c>
      <c r="H69" s="189">
        <f>GETPIVOTDATA("Sum of Old G E-Learning",'Pivot Table for Fact Book'!$A$3,"State","AR","type",4,"Type2","Four-Year")</f>
        <v>24153</v>
      </c>
      <c r="I69" s="190">
        <f>GETPIVOTDATA("Sum of New G E-Learning",'Pivot Table for Fact Book'!$A$3,"State","AR","type",4,"Type2","Four-Year")</f>
        <v>25563</v>
      </c>
      <c r="J69" s="189">
        <f>GETPIVOTDATA("Sum of Old G E-Learning",'Pivot Table for Fact Book'!$A$3,"State","AR","type",5,"Type2","Four-Year")</f>
        <v>0</v>
      </c>
      <c r="K69" s="190">
        <f>GETPIVOTDATA("Sum of New G E-Learning",'Pivot Table for Fact Book'!$A$3,"State","AR","type",5,"Type2","Four-Year")</f>
        <v>0</v>
      </c>
      <c r="L69" s="189">
        <f>GETPIVOTDATA("Sum of Old G E-Learning",'Pivot Table for Fact Book'!$A$3,"State","AR","type",6,"Type2","Four-Year")</f>
        <v>564</v>
      </c>
      <c r="M69" s="190">
        <f>GETPIVOTDATA("Sum of New G E-Learning",'Pivot Table for Fact Book'!$A$3,"State","AR","type",6,"Type2","Four-Year")</f>
        <v>845</v>
      </c>
      <c r="N69" s="189">
        <f>GETPIVOTDATA("Sum of Old G E-Learning",'Pivot Table for Fact Book'!$A$3,"State","AR","type",15,"Type2","Four-Year")</f>
        <v>0</v>
      </c>
      <c r="O69" s="190">
        <f>GETPIVOTDATA("Sum of New G E-Learning",'Pivot Table for Fact Book'!$A$3,"State","AR","type",15,"Type2","Four-Year")</f>
        <v>7769</v>
      </c>
      <c r="P69" s="191">
        <f>GETPIVOTDATA("Sum of Old G E-Learning",'Pivot Table for Fact Book'!$A$3,"State","AR","Type2","Four-Year")</f>
        <v>166858</v>
      </c>
      <c r="Q69" s="191">
        <f>GETPIVOTDATA("Sum of New G E-Learning",'Pivot Table for Fact Book'!$A$3,"State","AR","Type2","Four-Year")</f>
        <v>177876</v>
      </c>
    </row>
    <row r="70" spans="1:17">
      <c r="A70" s="202" t="s">
        <v>668</v>
      </c>
      <c r="B70" s="189">
        <f>GETPIVOTDATA("Sum of Old G E-Learning",'Pivot Table for Fact Book'!$A$3,"State","DE","type",1,"Type2","Four-Year")</f>
        <v>10153</v>
      </c>
      <c r="C70" s="190">
        <f>GETPIVOTDATA("Sum of New G E-Learning",'Pivot Table for Fact Book'!$A$3,"State","DE","type",1,"Type2","Four-Year")</f>
        <v>11193</v>
      </c>
      <c r="D70" s="189">
        <f>GETPIVOTDATA("Sum of Old G E-Learning",'Pivot Table for Fact Book'!$A$3,"State","DE","type",2,"Type2","Four-Year")</f>
        <v>0</v>
      </c>
      <c r="E70" s="190">
        <f>GETPIVOTDATA("Sum of New G E-Learning",'Pivot Table for Fact Book'!$A$3,"State","DE","type",2,"Type2","Four-Year")</f>
        <v>0</v>
      </c>
      <c r="F70" s="189">
        <f>GETPIVOTDATA("Sum of Old G E-Learning",'Pivot Table for Fact Book'!$A$3,"State","DE","type",3,"Type2","Four-Year")</f>
        <v>1431</v>
      </c>
      <c r="G70" s="190">
        <f>GETPIVOTDATA("Sum of New G E-Learning",'Pivot Table for Fact Book'!$A$3,"State","DE","type",3,"Type2","Four-Year")</f>
        <v>2343</v>
      </c>
      <c r="H70" s="189">
        <f>GETPIVOTDATA("Sum of Old G E-Learning",'Pivot Table for Fact Book'!$A$3,"State","DE","type",4,"Type2","Four-Year")</f>
        <v>0</v>
      </c>
      <c r="I70" s="190">
        <f>GETPIVOTDATA("Sum of New G E-Learning",'Pivot Table for Fact Book'!$A$3,"State","DE","type",4,"Type2","Four-Year")</f>
        <v>0</v>
      </c>
      <c r="J70" s="189">
        <f>GETPIVOTDATA("Sum of Old G E-Learning",'Pivot Table for Fact Book'!$A$3,"State","DE","type",5,"Type2","Four-Year")</f>
        <v>0</v>
      </c>
      <c r="K70" s="190">
        <f>GETPIVOTDATA("Sum of New G E-Learning",'Pivot Table for Fact Book'!$A$3,"State","DE","type",5,"Type2","Four-Year")</f>
        <v>0</v>
      </c>
      <c r="L70" s="189">
        <f>GETPIVOTDATA("Sum of Old G E-Learning",'Pivot Table for Fact Book'!$A$3,"State","DE","type",6,"Type2","Four-Year")</f>
        <v>0</v>
      </c>
      <c r="M70" s="190">
        <f>GETPIVOTDATA("Sum of New G E-Learning",'Pivot Table for Fact Book'!$A$3,"State","DE","type",6,"Type2","Four-Year")</f>
        <v>0</v>
      </c>
      <c r="N70" s="189">
        <f>GETPIVOTDATA("Sum of Old G E-Learning",'Pivot Table for Fact Book'!$A$3,"State","DE","type",15,"Type2","Four-Year")</f>
        <v>0</v>
      </c>
      <c r="O70" s="190">
        <f>GETPIVOTDATA("Sum of New G E-Learning",'Pivot Table for Fact Book'!$A$3,"State","DE","type",15,"Type2","Four-Year")</f>
        <v>0</v>
      </c>
      <c r="P70" s="191">
        <f>GETPIVOTDATA("Sum of Old G E-Learning",'Pivot Table for Fact Book'!$A$3,"State","DE","Type2","Four-Year")</f>
        <v>11584</v>
      </c>
      <c r="Q70" s="191">
        <f>GETPIVOTDATA("Sum of New G E-Learning",'Pivot Table for Fact Book'!$A$3,"State","DE","Type2","Four-Year")</f>
        <v>13536</v>
      </c>
    </row>
    <row r="71" spans="1:17">
      <c r="A71" s="202" t="s">
        <v>669</v>
      </c>
      <c r="B71" s="189">
        <f>GETPIVOTDATA("Sum of Old G E-Learning",'Pivot Table for Fact Book'!$A$3,"State","FL","type",1,"Type2","Four-Year")</f>
        <v>0</v>
      </c>
      <c r="C71" s="190">
        <f>GETPIVOTDATA("Sum of New G E-Learning",'Pivot Table for Fact Book'!$A$3,"State","FL","type",1,"Type2","Four-Year")</f>
        <v>0</v>
      </c>
      <c r="D71" s="189">
        <f>GETPIVOTDATA("Sum of Old G E-Learning",'Pivot Table for Fact Book'!$A$3,"State","FL","type",2,"Type2","Four-Year")</f>
        <v>0</v>
      </c>
      <c r="E71" s="190">
        <f>GETPIVOTDATA("Sum of New G E-Learning",'Pivot Table for Fact Book'!$A$3,"State","FL","type",2,"Type2","Four-Year")</f>
        <v>0</v>
      </c>
      <c r="F71" s="189">
        <f>GETPIVOTDATA("Sum of Old G E-Learning",'Pivot Table for Fact Book'!$A$3,"State","FL","type",3,"Type2","Four-Year")</f>
        <v>0</v>
      </c>
      <c r="G71" s="190">
        <f>GETPIVOTDATA("Sum of New G E-Learning",'Pivot Table for Fact Book'!$A$3,"State","FL","type",3,"Type2","Four-Year")</f>
        <v>0</v>
      </c>
      <c r="H71" s="189">
        <f>GETPIVOTDATA("Sum of Old G E-Learning",'Pivot Table for Fact Book'!$A$3,"State","FL","type",4,"Type2","Four-Year")</f>
        <v>0</v>
      </c>
      <c r="I71" s="190">
        <f>GETPIVOTDATA("Sum of New G E-Learning",'Pivot Table for Fact Book'!$A$3,"State","FL","type",4,"Type2","Four-Year")</f>
        <v>0</v>
      </c>
      <c r="J71" s="189">
        <f>GETPIVOTDATA("Sum of Old G E-Learning",'Pivot Table for Fact Book'!$A$3,"State","FL","type",5,"Type2","Four-Year")</f>
        <v>0</v>
      </c>
      <c r="K71" s="190">
        <f>GETPIVOTDATA("Sum of New G E-Learning",'Pivot Table for Fact Book'!$A$3,"State","FL","type",5,"Type2","Four-Year")</f>
        <v>0</v>
      </c>
      <c r="L71" s="189">
        <f>GETPIVOTDATA("Sum of Old G E-Learning",'Pivot Table for Fact Book'!$A$3,"State","FL","type",6,"Type2","Four-Year")</f>
        <v>0</v>
      </c>
      <c r="M71" s="190">
        <f>GETPIVOTDATA("Sum of New G E-Learning",'Pivot Table for Fact Book'!$A$3,"State","FL","type",6,"Type2","Four-Year")</f>
        <v>0</v>
      </c>
      <c r="N71" s="189">
        <f>GETPIVOTDATA("Sum of Old G E-Learning",'Pivot Table for Fact Book'!$A$3,"State","FL","type",15,"Type2","Four-Year")</f>
        <v>0</v>
      </c>
      <c r="O71" s="190">
        <f>GETPIVOTDATA("Sum of New G E-Learning",'Pivot Table for Fact Book'!$A$3,"State","FL","type",15,"Type2","Four-Year")</f>
        <v>0</v>
      </c>
      <c r="P71" s="191">
        <f>GETPIVOTDATA("Sum of Old G E-Learning",'Pivot Table for Fact Book'!$A$3,"State","FL","Type2","Four-Year")</f>
        <v>0</v>
      </c>
      <c r="Q71" s="191">
        <f>GETPIVOTDATA("Sum of New G E-Learning",'Pivot Table for Fact Book'!$A$3,"State","FL","Type2","Four-Year")</f>
        <v>0</v>
      </c>
    </row>
    <row r="72" spans="1:17">
      <c r="A72" s="202" t="s">
        <v>670</v>
      </c>
      <c r="B72" s="189">
        <f>GETPIVOTDATA("Sum of Old G E-Learning",'Pivot Table for Fact Book'!$A$3,"State","GA","type",1,"Type2","Four-Year")</f>
        <v>30097</v>
      </c>
      <c r="C72" s="190">
        <f>GETPIVOTDATA("Sum of New G E-Learning",'Pivot Table for Fact Book'!$A$3,"State","GA","type",1,"Type2","Four-Year")</f>
        <v>35077.5</v>
      </c>
      <c r="D72" s="189">
        <f>GETPIVOTDATA("Sum of Old G E-Learning",'Pivot Table for Fact Book'!$A$3,"State","GA","type",2,"Type2","Four-Year")</f>
        <v>87090</v>
      </c>
      <c r="E72" s="190">
        <f>GETPIVOTDATA("Sum of New G E-Learning",'Pivot Table for Fact Book'!$A$3,"State","GA","type",2,"Type2","Four-Year")</f>
        <v>124792</v>
      </c>
      <c r="F72" s="189">
        <f>GETPIVOTDATA("Sum of Old G E-Learning",'Pivot Table for Fact Book'!$A$3,"State","GA","type",3,"Type2","Four-Year")</f>
        <v>135228</v>
      </c>
      <c r="G72" s="190">
        <f>GETPIVOTDATA("Sum of New G E-Learning",'Pivot Table for Fact Book'!$A$3,"State","GA","type",3,"Type2","Four-Year")</f>
        <v>148016.1</v>
      </c>
      <c r="H72" s="189">
        <f>GETPIVOTDATA("Sum of Old G E-Learning",'Pivot Table for Fact Book'!$A$3,"State","GA","type",4,"Type2","Four-Year")</f>
        <v>61041</v>
      </c>
      <c r="I72" s="190">
        <f>GETPIVOTDATA("Sum of New G E-Learning",'Pivot Table for Fact Book'!$A$3,"State","GA","type",4,"Type2","Four-Year")</f>
        <v>71428</v>
      </c>
      <c r="J72" s="189">
        <f>GETPIVOTDATA("Sum of Old G E-Learning",'Pivot Table for Fact Book'!$A$3,"State","GA","type",5,"Type2","Four-Year")</f>
        <v>837</v>
      </c>
      <c r="K72" s="190">
        <f>GETPIVOTDATA("Sum of New G E-Learning",'Pivot Table for Fact Book'!$A$3,"State","GA","type",5,"Type2","Four-Year")</f>
        <v>708</v>
      </c>
      <c r="L72" s="189">
        <f>GETPIVOTDATA("Sum of Old G E-Learning",'Pivot Table for Fact Book'!$A$3,"State","GA","type",6,"Type2","Four-Year")</f>
        <v>3210</v>
      </c>
      <c r="M72" s="190">
        <f>GETPIVOTDATA("Sum of New G E-Learning",'Pivot Table for Fact Book'!$A$3,"State","GA","type",6,"Type2","Four-Year")</f>
        <v>4473</v>
      </c>
      <c r="N72" s="189">
        <f>GETPIVOTDATA("Sum of Old G E-Learning",'Pivot Table for Fact Book'!$A$3,"State","GA","type",15,"Type2","Four-Year")</f>
        <v>0</v>
      </c>
      <c r="O72" s="190">
        <f>GETPIVOTDATA("Sum of New G E-Learning",'Pivot Table for Fact Book'!$A$3,"State","GA","type",15,"Type2","Four-Year")</f>
        <v>0</v>
      </c>
      <c r="P72" s="191">
        <f>GETPIVOTDATA("Sum of Old G E-Learning",'Pivot Table for Fact Book'!$A$3,"State","GA","Type2","Four-Year")</f>
        <v>317503</v>
      </c>
      <c r="Q72" s="191">
        <f>GETPIVOTDATA("Sum of New G E-Learning",'Pivot Table for Fact Book'!$A$3,"State","GA","Type2","Four-Year")</f>
        <v>384494.6</v>
      </c>
    </row>
    <row r="73" spans="1:17">
      <c r="A73" s="202" t="s">
        <v>671</v>
      </c>
      <c r="B73" s="189">
        <f>GETPIVOTDATA("Sum of Old G E-Learning",'Pivot Table for Fact Book'!$A$3,"State","KY","type",1,"Type2","Four-Year")</f>
        <v>38829</v>
      </c>
      <c r="C73" s="190">
        <f>GETPIVOTDATA("Sum of New G E-Learning",'Pivot Table for Fact Book'!$A$3,"State","KY","type",1,"Type2","Four-Year")</f>
        <v>44255.5</v>
      </c>
      <c r="D73" s="189">
        <f>GETPIVOTDATA("Sum of Old G E-Learning",'Pivot Table for Fact Book'!$A$3,"State","KY","type",2,"Type2","Four-Year")</f>
        <v>0</v>
      </c>
      <c r="E73" s="190">
        <f>GETPIVOTDATA("Sum of New G E-Learning",'Pivot Table for Fact Book'!$A$3,"State","KY","type",2,"Type2","Four-Year")</f>
        <v>0</v>
      </c>
      <c r="F73" s="189">
        <f>GETPIVOTDATA("Sum of Old G E-Learning",'Pivot Table for Fact Book'!$A$3,"State","KY","type",3,"Type2","Four-Year")</f>
        <v>83918</v>
      </c>
      <c r="G73" s="190">
        <f>GETPIVOTDATA("Sum of New G E-Learning",'Pivot Table for Fact Book'!$A$3,"State","KY","type",3,"Type2","Four-Year")</f>
        <v>101180</v>
      </c>
      <c r="H73" s="189">
        <f>GETPIVOTDATA("Sum of Old G E-Learning",'Pivot Table for Fact Book'!$A$3,"State","KY","type",4,"Type2","Four-Year")</f>
        <v>390</v>
      </c>
      <c r="I73" s="190">
        <f>GETPIVOTDATA("Sum of New G E-Learning",'Pivot Table for Fact Book'!$A$3,"State","KY","type",4,"Type2","Four-Year")</f>
        <v>471</v>
      </c>
      <c r="J73" s="189">
        <f>GETPIVOTDATA("Sum of Old G E-Learning",'Pivot Table for Fact Book'!$A$3,"State","KY","type",5,"Type2","Four-Year")</f>
        <v>0</v>
      </c>
      <c r="K73" s="190">
        <f>GETPIVOTDATA("Sum of New G E-Learning",'Pivot Table for Fact Book'!$A$3,"State","KY","type",5,"Type2","Four-Year")</f>
        <v>0</v>
      </c>
      <c r="L73" s="189">
        <f>GETPIVOTDATA("Sum of Old G E-Learning",'Pivot Table for Fact Book'!$A$3,"State","KY","type",6,"Type2","Four-Year")</f>
        <v>0</v>
      </c>
      <c r="M73" s="190">
        <f>GETPIVOTDATA("Sum of New G E-Learning",'Pivot Table for Fact Book'!$A$3,"State","KY","type",6,"Type2","Four-Year")</f>
        <v>0</v>
      </c>
      <c r="N73" s="189">
        <f>GETPIVOTDATA("Sum of Old G E-Learning",'Pivot Table for Fact Book'!$A$3,"State","KY","type",15,"Type2","Four-Year")</f>
        <v>0</v>
      </c>
      <c r="O73" s="190">
        <f>GETPIVOTDATA("Sum of New G E-Learning",'Pivot Table for Fact Book'!$A$3,"State","KY","type",15,"Type2","Four-Year")</f>
        <v>0</v>
      </c>
      <c r="P73" s="191">
        <f>GETPIVOTDATA("Sum of Old G E-Learning",'Pivot Table for Fact Book'!$A$3,"State","KY","Type2","Four-Year")</f>
        <v>123137</v>
      </c>
      <c r="Q73" s="191">
        <f>GETPIVOTDATA("Sum of New G E-Learning",'Pivot Table for Fact Book'!$A$3,"State","KY","Type2","Four-Year")</f>
        <v>145906.5</v>
      </c>
    </row>
    <row r="74" spans="1:17">
      <c r="A74" s="202" t="s">
        <v>672</v>
      </c>
      <c r="B74" s="189">
        <f>GETPIVOTDATA("Sum of Old G E-Learning",'Pivot Table for Fact Book'!$A$3,"State","LA","type",1,"Type2","Four-Year")</f>
        <v>8064.9970708845904</v>
      </c>
      <c r="C74" s="190">
        <f>GETPIVOTDATA("Sum of New G E-Learning",'Pivot Table for Fact Book'!$A$3,"State","LA","type",1,"Type2","Four-Year")</f>
        <v>10564.768295056399</v>
      </c>
      <c r="D74" s="189">
        <f>GETPIVOTDATA("Sum of Old G E-Learning",'Pivot Table for Fact Book'!$A$3,"State","LA","type",2,"Type2","Four-Year")</f>
        <v>13916.998361045331</v>
      </c>
      <c r="E74" s="190">
        <f>GETPIVOTDATA("Sum of New G E-Learning",'Pivot Table for Fact Book'!$A$3,"State","LA","type",2,"Type2","Four-Year")</f>
        <v>17434.372462848209</v>
      </c>
      <c r="F74" s="189">
        <f>GETPIVOTDATA("Sum of Old G E-Learning",'Pivot Table for Fact Book'!$A$3,"State","LA","type",3,"Type2","Four-Year")</f>
        <v>32347.08339375833</v>
      </c>
      <c r="G74" s="190">
        <f>GETPIVOTDATA("Sum of New G E-Learning",'Pivot Table for Fact Book'!$A$3,"State","LA","type",3,"Type2","Four-Year")</f>
        <v>36810.681119204557</v>
      </c>
      <c r="H74" s="189">
        <f>GETPIVOTDATA("Sum of Old G E-Learning",'Pivot Table for Fact Book'!$A$3,"State","LA","type",4,"Type2","Four-Year")</f>
        <v>63984.011587648456</v>
      </c>
      <c r="I74" s="190">
        <f>GETPIVOTDATA("Sum of New G E-Learning",'Pivot Table for Fact Book'!$A$3,"State","LA","type",4,"Type2","Four-Year")</f>
        <v>96493.805965943029</v>
      </c>
      <c r="J74" s="189">
        <f>GETPIVOTDATA("Sum of Old G E-Learning",'Pivot Table for Fact Book'!$A$3,"State","LA","type",5,"Type2","Four-Year")</f>
        <v>1267.5258620689699</v>
      </c>
      <c r="K74" s="190">
        <f>GETPIVOTDATA("Sum of New G E-Learning",'Pivot Table for Fact Book'!$A$3,"State","LA","type",5,"Type2","Four-Year")</f>
        <v>2386.8000000000002</v>
      </c>
      <c r="L74" s="189">
        <f>GETPIVOTDATA("Sum of Old G E-Learning",'Pivot Table for Fact Book'!$A$3,"State","LA","type",6,"Type2","Four-Year")</f>
        <v>0</v>
      </c>
      <c r="M74" s="190">
        <f>GETPIVOTDATA("Sum of New G E-Learning",'Pivot Table for Fact Book'!$A$3,"State","LA","type",6,"Type2","Four-Year")</f>
        <v>0</v>
      </c>
      <c r="N74" s="189">
        <f>GETPIVOTDATA("Sum of Old G E-Learning",'Pivot Table for Fact Book'!$A$3,"State","LA","type",15,"Type2","Four-Year")</f>
        <v>606</v>
      </c>
      <c r="O74" s="190">
        <f>GETPIVOTDATA("Sum of New G E-Learning",'Pivot Table for Fact Book'!$A$3,"State","LA","type",15,"Type2","Four-Year")</f>
        <v>1449</v>
      </c>
      <c r="P74" s="191">
        <f>GETPIVOTDATA("Sum of Old G E-Learning",'Pivot Table for Fact Book'!$A$3,"State","LA","Type2","Four-Year")</f>
        <v>120186.61627540569</v>
      </c>
      <c r="Q74" s="191">
        <f>GETPIVOTDATA("Sum of New G E-Learning",'Pivot Table for Fact Book'!$A$3,"State","LA","Type2","Four-Year")</f>
        <v>165139.4278430522</v>
      </c>
    </row>
    <row r="75" spans="1:17">
      <c r="A75" s="202" t="s">
        <v>673</v>
      </c>
      <c r="B75" s="189">
        <f>GETPIVOTDATA("Sum of Old G E-Learning",'Pivot Table for Fact Book'!$A$3,"State","MD","type",1,"Type2","Four-Year")</f>
        <v>19734</v>
      </c>
      <c r="C75" s="190">
        <f>GETPIVOTDATA("Sum of New G E-Learning",'Pivot Table for Fact Book'!$A$3,"State","MD","type",1,"Type2","Four-Year")</f>
        <v>20019</v>
      </c>
      <c r="D75" s="189">
        <f>GETPIVOTDATA("Sum of Old G E-Learning",'Pivot Table for Fact Book'!$A$3,"State","MD","type",2,"Type2","Four-Year")</f>
        <v>12853</v>
      </c>
      <c r="E75" s="190">
        <f>GETPIVOTDATA("Sum of New G E-Learning",'Pivot Table for Fact Book'!$A$3,"State","MD","type",2,"Type2","Four-Year")</f>
        <v>13416</v>
      </c>
      <c r="F75" s="189">
        <f>GETPIVOTDATA("Sum of Old G E-Learning",'Pivot Table for Fact Book'!$A$3,"State","MD","type",3,"Type2","Four-Year")</f>
        <v>21277</v>
      </c>
      <c r="G75" s="190">
        <f>GETPIVOTDATA("Sum of New G E-Learning",'Pivot Table for Fact Book'!$A$3,"State","MD","type",3,"Type2","Four-Year")</f>
        <v>21001.5</v>
      </c>
      <c r="H75" s="189">
        <f>GETPIVOTDATA("Sum of Old G E-Learning",'Pivot Table for Fact Book'!$A$3,"State","MD","type",4,"Type2","Four-Year")</f>
        <v>21569</v>
      </c>
      <c r="I75" s="190">
        <f>GETPIVOTDATA("Sum of New G E-Learning",'Pivot Table for Fact Book'!$A$3,"State","MD","type",4,"Type2","Four-Year")</f>
        <v>23567</v>
      </c>
      <c r="J75" s="189">
        <f>GETPIVOTDATA("Sum of Old G E-Learning",'Pivot Table for Fact Book'!$A$3,"State","MD","type",5,"Type2","Four-Year")</f>
        <v>676</v>
      </c>
      <c r="K75" s="190">
        <f>GETPIVOTDATA("Sum of New G E-Learning",'Pivot Table for Fact Book'!$A$3,"State","MD","type",5,"Type2","Four-Year")</f>
        <v>624</v>
      </c>
      <c r="L75" s="189">
        <f>GETPIVOTDATA("Sum of Old G E-Learning",'Pivot Table for Fact Book'!$A$3,"State","MD","type",6,"Type2","Four-Year")</f>
        <v>0</v>
      </c>
      <c r="M75" s="190">
        <f>GETPIVOTDATA("Sum of New G E-Learning",'Pivot Table for Fact Book'!$A$3,"State","MD","type",6,"Type2","Four-Year")</f>
        <v>0</v>
      </c>
      <c r="N75" s="189">
        <f>GETPIVOTDATA("Sum of Old G E-Learning",'Pivot Table for Fact Book'!$A$3,"State","MD","type",15,"Type2","Four-Year")</f>
        <v>225203</v>
      </c>
      <c r="O75" s="190">
        <f>GETPIVOTDATA("Sum of New G E-Learning",'Pivot Table for Fact Book'!$A$3,"State","MD","type",15,"Type2","Four-Year")</f>
        <v>208119</v>
      </c>
      <c r="P75" s="191">
        <f>GETPIVOTDATA("Sum of Old G E-Learning",'Pivot Table for Fact Book'!$A$3,"State","MD","Type2","Four-Year")</f>
        <v>301312</v>
      </c>
      <c r="Q75" s="191">
        <f>GETPIVOTDATA("Sum of New G E-Learning",'Pivot Table for Fact Book'!$A$3,"State","MD","Type2","Four-Year")</f>
        <v>286746.5</v>
      </c>
    </row>
    <row r="76" spans="1:17">
      <c r="A76" s="202" t="s">
        <v>674</v>
      </c>
      <c r="B76" s="189">
        <f>GETPIVOTDATA("Sum of Old G E-Learning",'Pivot Table for Fact Book'!$A$3,"State","MS","type",1,"Type2","Four-Year")</f>
        <v>41866</v>
      </c>
      <c r="C76" s="190">
        <f>GETPIVOTDATA("Sum of New G E-Learning",'Pivot Table for Fact Book'!$A$3,"State","MS","type",1,"Type2","Four-Year")</f>
        <v>41965</v>
      </c>
      <c r="D76" s="189">
        <f>GETPIVOTDATA("Sum of Old G E-Learning",'Pivot Table for Fact Book'!$A$3,"State","MS","type",2,"Type2","Four-Year")</f>
        <v>14173</v>
      </c>
      <c r="E76" s="190">
        <f>GETPIVOTDATA("Sum of New G E-Learning",'Pivot Table for Fact Book'!$A$3,"State","MS","type",2,"Type2","Four-Year")</f>
        <v>16064</v>
      </c>
      <c r="F76" s="189">
        <f>GETPIVOTDATA("Sum of Old G E-Learning",'Pivot Table for Fact Book'!$A$3,"State","MS","type",3,"Type2","Four-Year")</f>
        <v>0</v>
      </c>
      <c r="G76" s="190">
        <f>GETPIVOTDATA("Sum of New G E-Learning",'Pivot Table for Fact Book'!$A$3,"State","MS","type",3,"Type2","Four-Year")</f>
        <v>0</v>
      </c>
      <c r="H76" s="189">
        <f>GETPIVOTDATA("Sum of Old G E-Learning",'Pivot Table for Fact Book'!$A$3,"State","MS","type",4,"Type2","Four-Year")</f>
        <v>29999</v>
      </c>
      <c r="I76" s="190">
        <f>GETPIVOTDATA("Sum of New G E-Learning",'Pivot Table for Fact Book'!$A$3,"State","MS","type",4,"Type2","Four-Year")</f>
        <v>24830</v>
      </c>
      <c r="J76" s="189">
        <f>GETPIVOTDATA("Sum of Old G E-Learning",'Pivot Table for Fact Book'!$A$3,"State","MS","type",5,"Type2","Four-Year")</f>
        <v>0</v>
      </c>
      <c r="K76" s="190">
        <f>GETPIVOTDATA("Sum of New G E-Learning",'Pivot Table for Fact Book'!$A$3,"State","MS","type",5,"Type2","Four-Year")</f>
        <v>0</v>
      </c>
      <c r="L76" s="189">
        <f>GETPIVOTDATA("Sum of Old G E-Learning",'Pivot Table for Fact Book'!$A$3,"State","MS","type",6,"Type2","Four-Year")</f>
        <v>0</v>
      </c>
      <c r="M76" s="190">
        <f>GETPIVOTDATA("Sum of New G E-Learning",'Pivot Table for Fact Book'!$A$3,"State","MS","type",6,"Type2","Four-Year")</f>
        <v>0</v>
      </c>
      <c r="N76" s="189">
        <f>GETPIVOTDATA("Sum of Old G E-Learning",'Pivot Table for Fact Book'!$A$3,"State","MS","type",15,"Type2","Four-Year")</f>
        <v>0</v>
      </c>
      <c r="O76" s="190">
        <f>GETPIVOTDATA("Sum of New G E-Learning",'Pivot Table for Fact Book'!$A$3,"State","MS","type",15,"Type2","Four-Year")</f>
        <v>0</v>
      </c>
      <c r="P76" s="191">
        <f>GETPIVOTDATA("Sum of Old G E-Learning",'Pivot Table for Fact Book'!$A$3,"State","MS","Type2","Four-Year")</f>
        <v>86038</v>
      </c>
      <c r="Q76" s="191">
        <f>GETPIVOTDATA("Sum of New G E-Learning",'Pivot Table for Fact Book'!$A$3,"State","MS","Type2","Four-Year")</f>
        <v>82859</v>
      </c>
    </row>
    <row r="77" spans="1:17">
      <c r="A77" s="202" t="s">
        <v>675</v>
      </c>
      <c r="B77" s="189">
        <f>GETPIVOTDATA("Sum of Old G E-Learning",'Pivot Table for Fact Book'!$A$3,"State","NC","type",1,"Type2","Four-Year")</f>
        <v>97378</v>
      </c>
      <c r="C77" s="190">
        <f>GETPIVOTDATA("Sum of New G E-Learning",'Pivot Table for Fact Book'!$A$3,"State","NC","type",1,"Type2","Four-Year")</f>
        <v>104013.5</v>
      </c>
      <c r="D77" s="189">
        <f>GETPIVOTDATA("Sum of Old G E-Learning",'Pivot Table for Fact Book'!$A$3,"State","NC","type",2,"Type2","Four-Year")</f>
        <v>55009</v>
      </c>
      <c r="E77" s="190">
        <f>GETPIVOTDATA("Sum of New G E-Learning",'Pivot Table for Fact Book'!$A$3,"State","NC","type",2,"Type2","Four-Year")</f>
        <v>54202</v>
      </c>
      <c r="F77" s="189">
        <f>GETPIVOTDATA("Sum of Old G E-Learning",'Pivot Table for Fact Book'!$A$3,"State","NC","type",3,"Type2","Four-Year")</f>
        <v>61740</v>
      </c>
      <c r="G77" s="190">
        <f>GETPIVOTDATA("Sum of New G E-Learning",'Pivot Table for Fact Book'!$A$3,"State","NC","type",3,"Type2","Four-Year")</f>
        <v>72713</v>
      </c>
      <c r="H77" s="189">
        <f>GETPIVOTDATA("Sum of Old G E-Learning",'Pivot Table for Fact Book'!$A$3,"State","NC","type",4,"Type2","Four-Year")</f>
        <v>9333</v>
      </c>
      <c r="I77" s="190">
        <f>GETPIVOTDATA("Sum of New G E-Learning",'Pivot Table for Fact Book'!$A$3,"State","NC","type",4,"Type2","Four-Year")</f>
        <v>9565</v>
      </c>
      <c r="J77" s="189">
        <f>GETPIVOTDATA("Sum of Old G E-Learning",'Pivot Table for Fact Book'!$A$3,"State","NC","type",5,"Type2","Four-Year")</f>
        <v>14034</v>
      </c>
      <c r="K77" s="190">
        <f>GETPIVOTDATA("Sum of New G E-Learning",'Pivot Table for Fact Book'!$A$3,"State","NC","type",5,"Type2","Four-Year")</f>
        <v>20710</v>
      </c>
      <c r="L77" s="189">
        <f>GETPIVOTDATA("Sum of Old G E-Learning",'Pivot Table for Fact Book'!$A$3,"State","NC","type",6,"Type2","Four-Year")</f>
        <v>144</v>
      </c>
      <c r="M77" s="190">
        <f>GETPIVOTDATA("Sum of New G E-Learning",'Pivot Table for Fact Book'!$A$3,"State","NC","type",6,"Type2","Four-Year")</f>
        <v>829</v>
      </c>
      <c r="N77" s="189">
        <f>GETPIVOTDATA("Sum of Old G E-Learning",'Pivot Table for Fact Book'!$A$3,"State","NC","type",15,"Type2","Four-Year")</f>
        <v>0</v>
      </c>
      <c r="O77" s="190">
        <f>GETPIVOTDATA("Sum of New G E-Learning",'Pivot Table for Fact Book'!$A$3,"State","NC","type",15,"Type2","Four-Year")</f>
        <v>12</v>
      </c>
      <c r="P77" s="191">
        <f>GETPIVOTDATA("Sum of Old G E-Learning",'Pivot Table for Fact Book'!$A$3,"State","NC","Type2","Four-Year")</f>
        <v>237638</v>
      </c>
      <c r="Q77" s="191">
        <f>GETPIVOTDATA("Sum of New G E-Learning",'Pivot Table for Fact Book'!$A$3,"State","NC","Type2","Four-Year")</f>
        <v>262044.5</v>
      </c>
    </row>
    <row r="78" spans="1:17">
      <c r="A78" s="202" t="s">
        <v>676</v>
      </c>
      <c r="B78" s="189">
        <f>GETPIVOTDATA("Sum of Old G E-Learning",'Pivot Table for Fact Book'!$A$3,"State","OK","type",1,"Type2","Four-Year")</f>
        <v>46366</v>
      </c>
      <c r="C78" s="190">
        <f>GETPIVOTDATA("Sum of New G E-Learning",'Pivot Table for Fact Book'!$A$3,"State","OK","type",1,"Type2","Four-Year")</f>
        <v>51271</v>
      </c>
      <c r="D78" s="189">
        <f>GETPIVOTDATA("Sum of Old G E-Learning",'Pivot Table for Fact Book'!$A$3,"State","OK","type",2,"Type2","Four-Year")</f>
        <v>0</v>
      </c>
      <c r="E78" s="190">
        <f>GETPIVOTDATA("Sum of New G E-Learning",'Pivot Table for Fact Book'!$A$3,"State","OK","type",2,"Type2","Four-Year")</f>
        <v>0</v>
      </c>
      <c r="F78" s="189">
        <f>GETPIVOTDATA("Sum of Old G E-Learning",'Pivot Table for Fact Book'!$A$3,"State","OK","type",3,"Type2","Four-Year")</f>
        <v>10327</v>
      </c>
      <c r="G78" s="190">
        <f>GETPIVOTDATA("Sum of New G E-Learning",'Pivot Table for Fact Book'!$A$3,"State","OK","type",3,"Type2","Four-Year")</f>
        <v>11651</v>
      </c>
      <c r="H78" s="189">
        <f>GETPIVOTDATA("Sum of Old G E-Learning",'Pivot Table for Fact Book'!$A$3,"State","OK","type",4,"Type2","Four-Year")</f>
        <v>27847</v>
      </c>
      <c r="I78" s="190">
        <f>GETPIVOTDATA("Sum of New G E-Learning",'Pivot Table for Fact Book'!$A$3,"State","OK","type",4,"Type2","Four-Year")</f>
        <v>31877</v>
      </c>
      <c r="J78" s="189">
        <f>GETPIVOTDATA("Sum of Old G E-Learning",'Pivot Table for Fact Book'!$A$3,"State","OK","type",5,"Type2","Four-Year")</f>
        <v>14076</v>
      </c>
      <c r="K78" s="190">
        <f>GETPIVOTDATA("Sum of New G E-Learning",'Pivot Table for Fact Book'!$A$3,"State","OK","type",5,"Type2","Four-Year")</f>
        <v>12905</v>
      </c>
      <c r="L78" s="189">
        <f>GETPIVOTDATA("Sum of Old G E-Learning",'Pivot Table for Fact Book'!$A$3,"State","OK","type",6,"Type2","Four-Year")</f>
        <v>24</v>
      </c>
      <c r="M78" s="190">
        <f>GETPIVOTDATA("Sum of New G E-Learning",'Pivot Table for Fact Book'!$A$3,"State","OK","type",6,"Type2","Four-Year")</f>
        <v>24</v>
      </c>
      <c r="N78" s="189">
        <f>GETPIVOTDATA("Sum of Old G E-Learning",'Pivot Table for Fact Book'!$A$3,"State","OK","type",15,"Type2","Four-Year")</f>
        <v>0</v>
      </c>
      <c r="O78" s="190">
        <f>GETPIVOTDATA("Sum of New G E-Learning",'Pivot Table for Fact Book'!$A$3,"State","OK","type",15,"Type2","Four-Year")</f>
        <v>0</v>
      </c>
      <c r="P78" s="191">
        <f>GETPIVOTDATA("Sum of Old G E-Learning",'Pivot Table for Fact Book'!$A$3,"State","OK","Type2","Four-Year")</f>
        <v>98640</v>
      </c>
      <c r="Q78" s="191">
        <f>GETPIVOTDATA("Sum of New G E-Learning",'Pivot Table for Fact Book'!$A$3,"State","OK","Type2","Four-Year")</f>
        <v>107728</v>
      </c>
    </row>
    <row r="79" spans="1:17">
      <c r="A79" s="202" t="s">
        <v>677</v>
      </c>
      <c r="B79" s="189">
        <f>GETPIVOTDATA("Sum of Old G E-Learning",'Pivot Table for Fact Book'!$A$3,"State","SC","type",1,"Type2","Four-Year")</f>
        <v>63064</v>
      </c>
      <c r="C79" s="190">
        <f>GETPIVOTDATA("Sum of New G E-Learning",'Pivot Table for Fact Book'!$A$3,"State","SC","type",1,"Type2","Four-Year")</f>
        <v>65672</v>
      </c>
      <c r="D79" s="189">
        <f>GETPIVOTDATA("Sum of Old G E-Learning",'Pivot Table for Fact Book'!$A$3,"State","SC","type",2,"Type2","Four-Year")</f>
        <v>0</v>
      </c>
      <c r="E79" s="190">
        <f>GETPIVOTDATA("Sum of New G E-Learning",'Pivot Table for Fact Book'!$A$3,"State","SC","type",2,"Type2","Four-Year")</f>
        <v>0</v>
      </c>
      <c r="F79" s="189">
        <f>GETPIVOTDATA("Sum of Old G E-Learning",'Pivot Table for Fact Book'!$A$3,"State","SC","type",3,"Type2","Four-Year")</f>
        <v>13998</v>
      </c>
      <c r="G79" s="190">
        <f>GETPIVOTDATA("Sum of New G E-Learning",'Pivot Table for Fact Book'!$A$3,"State","SC","type",3,"Type2","Four-Year")</f>
        <v>17398</v>
      </c>
      <c r="H79" s="189">
        <f>GETPIVOTDATA("Sum of Old G E-Learning",'Pivot Table for Fact Book'!$A$3,"State","SC","type",4,"Type2","Four-Year")</f>
        <v>7065</v>
      </c>
      <c r="I79" s="190">
        <f>GETPIVOTDATA("Sum of New G E-Learning",'Pivot Table for Fact Book'!$A$3,"State","SC","type",4,"Type2","Four-Year")</f>
        <v>6044</v>
      </c>
      <c r="J79" s="189">
        <f>GETPIVOTDATA("Sum of Old G E-Learning",'Pivot Table for Fact Book'!$A$3,"State","SC","type",5,"Type2","Four-Year")</f>
        <v>3334</v>
      </c>
      <c r="K79" s="190">
        <f>GETPIVOTDATA("Sum of New G E-Learning",'Pivot Table for Fact Book'!$A$3,"State","SC","type",5,"Type2","Four-Year")</f>
        <v>3901</v>
      </c>
      <c r="L79" s="189">
        <f>GETPIVOTDATA("Sum of Old G E-Learning",'Pivot Table for Fact Book'!$A$3,"State","SC","type",6,"Type2","Four-Year")</f>
        <v>3621</v>
      </c>
      <c r="M79" s="190">
        <f>GETPIVOTDATA("Sum of New G E-Learning",'Pivot Table for Fact Book'!$A$3,"State","SC","type",6,"Type2","Four-Year")</f>
        <v>7544</v>
      </c>
      <c r="N79" s="189">
        <f>GETPIVOTDATA("Sum of Old G E-Learning",'Pivot Table for Fact Book'!$A$3,"State","SC","type",15,"Type2","Four-Year")</f>
        <v>0</v>
      </c>
      <c r="O79" s="190">
        <f>GETPIVOTDATA("Sum of New G E-Learning",'Pivot Table for Fact Book'!$A$3,"State","SC","type",15,"Type2","Four-Year")</f>
        <v>0</v>
      </c>
      <c r="P79" s="191">
        <f>GETPIVOTDATA("Sum of Old G E-Learning",'Pivot Table for Fact Book'!$A$3,"State","SC","Type2","Four-Year")</f>
        <v>91082</v>
      </c>
      <c r="Q79" s="191">
        <f>GETPIVOTDATA("Sum of New G E-Learning",'Pivot Table for Fact Book'!$A$3,"State","SC","Type2","Four-Year")</f>
        <v>100559</v>
      </c>
    </row>
    <row r="80" spans="1:17">
      <c r="A80" s="202" t="s">
        <v>678</v>
      </c>
      <c r="B80" s="189">
        <f>GETPIVOTDATA("Sum of Old G E-Learning",'Pivot Table for Fact Book'!$A$3,"State","TN","type",1,"Type2","Four-Year")</f>
        <v>41606</v>
      </c>
      <c r="C80" s="190">
        <f>GETPIVOTDATA("Sum of New G E-Learning",'Pivot Table for Fact Book'!$A$3,"State","TN","type",1,"Type2","Four-Year")</f>
        <v>46443</v>
      </c>
      <c r="D80" s="189">
        <f>GETPIVOTDATA("Sum of Old G E-Learning",'Pivot Table for Fact Book'!$A$3,"State","TN","type",2,"Type2","Four-Year")</f>
        <v>41013</v>
      </c>
      <c r="E80" s="190">
        <f>GETPIVOTDATA("Sum of New G E-Learning",'Pivot Table for Fact Book'!$A$3,"State","TN","type",2,"Type2","Four-Year")</f>
        <v>44492</v>
      </c>
      <c r="F80" s="189">
        <f>GETPIVOTDATA("Sum of Old G E-Learning",'Pivot Table for Fact Book'!$A$3,"State","TN","type",3,"Type2","Four-Year")</f>
        <v>33686</v>
      </c>
      <c r="G80" s="190">
        <f>GETPIVOTDATA("Sum of New G E-Learning",'Pivot Table for Fact Book'!$A$3,"State","TN","type",3,"Type2","Four-Year")</f>
        <v>36562</v>
      </c>
      <c r="H80" s="189">
        <f>GETPIVOTDATA("Sum of Old G E-Learning",'Pivot Table for Fact Book'!$A$3,"State","TN","type",4,"Type2","Four-Year")</f>
        <v>0</v>
      </c>
      <c r="I80" s="190">
        <f>GETPIVOTDATA("Sum of New G E-Learning",'Pivot Table for Fact Book'!$A$3,"State","TN","type",4,"Type2","Four-Year")</f>
        <v>0</v>
      </c>
      <c r="J80" s="189">
        <f>GETPIVOTDATA("Sum of Old G E-Learning",'Pivot Table for Fact Book'!$A$3,"State","TN","type",5,"Type2","Four-Year")</f>
        <v>4778</v>
      </c>
      <c r="K80" s="190">
        <f>GETPIVOTDATA("Sum of New G E-Learning",'Pivot Table for Fact Book'!$A$3,"State","TN","type",5,"Type2","Four-Year")</f>
        <v>6111</v>
      </c>
      <c r="L80" s="189">
        <f>GETPIVOTDATA("Sum of Old G E-Learning",'Pivot Table for Fact Book'!$A$3,"State","TN","type",6,"Type2","Four-Year")</f>
        <v>0</v>
      </c>
      <c r="M80" s="190">
        <f>GETPIVOTDATA("Sum of New G E-Learning",'Pivot Table for Fact Book'!$A$3,"State","TN","type",6,"Type2","Four-Year")</f>
        <v>0</v>
      </c>
      <c r="N80" s="189">
        <f>GETPIVOTDATA("Sum of Old G E-Learning",'Pivot Table for Fact Book'!$A$3,"State","TN","type",15,"Type2","Four-Year")</f>
        <v>0</v>
      </c>
      <c r="O80" s="190">
        <f>GETPIVOTDATA("Sum of New G E-Learning",'Pivot Table for Fact Book'!$A$3,"State","TN","type",15,"Type2","Four-Year")</f>
        <v>0</v>
      </c>
      <c r="P80" s="191">
        <f>GETPIVOTDATA("Sum of Old G E-Learning",'Pivot Table for Fact Book'!$A$3,"State","TN","Type2","Four-Year")</f>
        <v>121083</v>
      </c>
      <c r="Q80" s="191">
        <f>GETPIVOTDATA("Sum of New G E-Learning",'Pivot Table for Fact Book'!$A$3,"State","TN","Type2","Four-Year")</f>
        <v>133608</v>
      </c>
    </row>
    <row r="81" spans="1:17">
      <c r="A81" s="202" t="s">
        <v>679</v>
      </c>
      <c r="B81" s="189">
        <f>GETPIVOTDATA("Sum of Old G E-Learning",'Pivot Table for Fact Book'!$A$3,"State","TX","type",1,"Type2","Four-Year")</f>
        <v>0</v>
      </c>
      <c r="C81" s="190">
        <f>GETPIVOTDATA("Sum of New G E-Learning",'Pivot Table for Fact Book'!$A$3,"State","TX","type",1,"Type2","Four-Year")</f>
        <v>0</v>
      </c>
      <c r="D81" s="189">
        <f>GETPIVOTDATA("Sum of Old G E-Learning",'Pivot Table for Fact Book'!$A$3,"State","TX","type",2,"Type2","Four-Year")</f>
        <v>0</v>
      </c>
      <c r="E81" s="190">
        <f>GETPIVOTDATA("Sum of New G E-Learning",'Pivot Table for Fact Book'!$A$3,"State","TX","type",2,"Type2","Four-Year")</f>
        <v>0</v>
      </c>
      <c r="F81" s="189">
        <f>GETPIVOTDATA("Sum of Old G E-Learning",'Pivot Table for Fact Book'!$A$3,"State","TX","type",3,"Type2","Four-Year")</f>
        <v>0</v>
      </c>
      <c r="G81" s="190">
        <f>GETPIVOTDATA("Sum of New G E-Learning",'Pivot Table for Fact Book'!$A$3,"State","TX","type",3,"Type2","Four-Year")</f>
        <v>0</v>
      </c>
      <c r="H81" s="189">
        <f>GETPIVOTDATA("Sum of Old G E-Learning",'Pivot Table for Fact Book'!$A$3,"State","TX","type",4,"Type2","Four-Year")</f>
        <v>0</v>
      </c>
      <c r="I81" s="190">
        <f>GETPIVOTDATA("Sum of New G E-Learning",'Pivot Table for Fact Book'!$A$3,"State","TX","type",4,"Type2","Four-Year")</f>
        <v>0</v>
      </c>
      <c r="J81" s="189">
        <f>GETPIVOTDATA("Sum of Old G E-Learning",'Pivot Table for Fact Book'!$A$3,"State","TX","type",5,"Type2","Four-Year")</f>
        <v>0</v>
      </c>
      <c r="K81" s="190">
        <f>GETPIVOTDATA("Sum of New G E-Learning",'Pivot Table for Fact Book'!$A$3,"State","TX","type",5,"Type2","Four-Year")</f>
        <v>0</v>
      </c>
      <c r="L81" s="189">
        <f>GETPIVOTDATA("Sum of Old G E-Learning",'Pivot Table for Fact Book'!$A$3,"State","TX","type",6,"Type2","Four-Year")</f>
        <v>0</v>
      </c>
      <c r="M81" s="190">
        <f>GETPIVOTDATA("Sum of New G E-Learning",'Pivot Table for Fact Book'!$A$3,"State","TX","type",6,"Type2","Four-Year")</f>
        <v>0</v>
      </c>
      <c r="N81" s="189">
        <f>GETPIVOTDATA("Sum of Old G E-Learning",'Pivot Table for Fact Book'!$A$3,"State","TX","type",15,"Type2","Four-Year")</f>
        <v>0</v>
      </c>
      <c r="O81" s="190">
        <f>GETPIVOTDATA("Sum of New G E-Learning",'Pivot Table for Fact Book'!$A$3,"State","TX","type",15,"Type2","Four-Year")</f>
        <v>0</v>
      </c>
      <c r="P81" s="191">
        <f>GETPIVOTDATA("Sum of Old G E-Learning",'Pivot Table for Fact Book'!$A$3,"State","TX","Type2","Four-Year")</f>
        <v>0</v>
      </c>
      <c r="Q81" s="191">
        <f>GETPIVOTDATA("Sum of New G E-Learning",'Pivot Table for Fact Book'!$A$3,"State","TX","Type2","Four-Year")</f>
        <v>0</v>
      </c>
    </row>
    <row r="82" spans="1:17">
      <c r="A82" s="202" t="s">
        <v>680</v>
      </c>
      <c r="B82" s="189">
        <f>GETPIVOTDATA("Sum of Old G E-Learning",'Pivot Table for Fact Book'!$A$3,"State","VA","type",1,"Type2","Four-Year")</f>
        <v>109110.5</v>
      </c>
      <c r="C82" s="190">
        <f>GETPIVOTDATA("Sum of New G E-Learning",'Pivot Table for Fact Book'!$A$3,"State","VA","type",1,"Type2","Four-Year")</f>
        <v>120563</v>
      </c>
      <c r="D82" s="189">
        <f>GETPIVOTDATA("Sum of Old G E-Learning",'Pivot Table for Fact Book'!$A$3,"State","VA","type",2,"Type2","Four-Year")</f>
        <v>7617</v>
      </c>
      <c r="E82" s="190">
        <f>GETPIVOTDATA("Sum of New G E-Learning",'Pivot Table for Fact Book'!$A$3,"State","VA","type",2,"Type2","Four-Year")</f>
        <v>9473.5</v>
      </c>
      <c r="F82" s="189">
        <f>GETPIVOTDATA("Sum of Old G E-Learning",'Pivot Table for Fact Book'!$A$3,"State","VA","type",3,"Type2","Four-Year")</f>
        <v>23525</v>
      </c>
      <c r="G82" s="190">
        <f>GETPIVOTDATA("Sum of New G E-Learning",'Pivot Table for Fact Book'!$A$3,"State","VA","type",3,"Type2","Four-Year")</f>
        <v>31188.6</v>
      </c>
      <c r="H82" s="189">
        <f>GETPIVOTDATA("Sum of Old G E-Learning",'Pivot Table for Fact Book'!$A$3,"State","VA","type",4,"Type2","Four-Year")</f>
        <v>0</v>
      </c>
      <c r="I82" s="190">
        <f>GETPIVOTDATA("Sum of New G E-Learning",'Pivot Table for Fact Book'!$A$3,"State","VA","type",4,"Type2","Four-Year")</f>
        <v>0</v>
      </c>
      <c r="J82" s="189">
        <f>GETPIVOTDATA("Sum of Old G E-Learning",'Pivot Table for Fact Book'!$A$3,"State","VA","type",5,"Type2","Four-Year")</f>
        <v>0</v>
      </c>
      <c r="K82" s="190">
        <f>GETPIVOTDATA("Sum of New G E-Learning",'Pivot Table for Fact Book'!$A$3,"State","VA","type",5,"Type2","Four-Year")</f>
        <v>0</v>
      </c>
      <c r="L82" s="189">
        <f>GETPIVOTDATA("Sum of Old G E-Learning",'Pivot Table for Fact Book'!$A$3,"State","VA","type",6,"Type2","Four-Year")</f>
        <v>0</v>
      </c>
      <c r="M82" s="190">
        <f>GETPIVOTDATA("Sum of New G E-Learning",'Pivot Table for Fact Book'!$A$3,"State","VA","type",6,"Type2","Four-Year")</f>
        <v>0</v>
      </c>
      <c r="N82" s="189">
        <f>GETPIVOTDATA("Sum of Old G E-Learning",'Pivot Table for Fact Book'!$A$3,"State","VA","type",15,"Type2","Four-Year")</f>
        <v>0</v>
      </c>
      <c r="O82" s="190">
        <f>GETPIVOTDATA("Sum of New G E-Learning",'Pivot Table for Fact Book'!$A$3,"State","VA","type",15,"Type2","Four-Year")</f>
        <v>0</v>
      </c>
      <c r="P82" s="191">
        <f>GETPIVOTDATA("Sum of Old G E-Learning",'Pivot Table for Fact Book'!$A$3,"State","VA","Type2","Four-Year")</f>
        <v>140252.5</v>
      </c>
      <c r="Q82" s="191">
        <f>GETPIVOTDATA("Sum of New G E-Learning",'Pivot Table for Fact Book'!$A$3,"State","VA","Type2","Four-Year")</f>
        <v>161225.1</v>
      </c>
    </row>
    <row r="83" spans="1:17">
      <c r="A83" s="223" t="s">
        <v>681</v>
      </c>
      <c r="B83" s="195">
        <f>GETPIVOTDATA("Sum of Old G E-Learning",'Pivot Table for Fact Book'!$A$3,"State","WV","type",1,"Type2","Four-Year")</f>
        <v>24648</v>
      </c>
      <c r="C83" s="196">
        <f>GETPIVOTDATA("Sum of New G E-Learning",'Pivot Table for Fact Book'!$A$3,"State","WV","type",1,"Type2","Four-Year")</f>
        <v>25482</v>
      </c>
      <c r="D83" s="195">
        <f>GETPIVOTDATA("Sum of Old G E-Learning",'Pivot Table for Fact Book'!$A$3,"State","WV","type",2,"Type2","Four-Year")</f>
        <v>0</v>
      </c>
      <c r="E83" s="196">
        <f>GETPIVOTDATA("Sum of New G E-Learning",'Pivot Table for Fact Book'!$A$3,"State","WV","type",2,"Type2","Four-Year")</f>
        <v>0</v>
      </c>
      <c r="F83" s="195">
        <f>GETPIVOTDATA("Sum of Old G E-Learning",'Pivot Table for Fact Book'!$A$3,"State","WV","type",3,"Type2","Four-Year")</f>
        <v>21772</v>
      </c>
      <c r="G83" s="196">
        <f>GETPIVOTDATA("Sum of New G E-Learning",'Pivot Table for Fact Book'!$A$3,"State","WV","type",3,"Type2","Four-Year")</f>
        <v>21210</v>
      </c>
      <c r="H83" s="195">
        <f>GETPIVOTDATA("Sum of Old G E-Learning",'Pivot Table for Fact Book'!$A$3,"State","WV","type",4,"Type2","Four-Year")</f>
        <v>0</v>
      </c>
      <c r="I83" s="196">
        <f>GETPIVOTDATA("Sum of New G E-Learning",'Pivot Table for Fact Book'!$A$3,"State","WV","type",4,"Type2","Four-Year")</f>
        <v>0</v>
      </c>
      <c r="J83" s="195">
        <f>GETPIVOTDATA("Sum of Old G E-Learning",'Pivot Table for Fact Book'!$A$3,"State","WV","type",5,"Type2","Four-Year")</f>
        <v>11989</v>
      </c>
      <c r="K83" s="196">
        <f>GETPIVOTDATA("Sum of New G E-Learning",'Pivot Table for Fact Book'!$A$3,"State","WV","type",5,"Type2","Four-Year")</f>
        <v>13227</v>
      </c>
      <c r="L83" s="195">
        <f>GETPIVOTDATA("Sum of Old G E-Learning",'Pivot Table for Fact Book'!$A$3,"State","WV","type",6,"Type2","Four-Year")</f>
        <v>666</v>
      </c>
      <c r="M83" s="196">
        <f>GETPIVOTDATA("Sum of New G E-Learning",'Pivot Table for Fact Book'!$A$3,"State","WV","type",6,"Type2","Four-Year")</f>
        <v>627</v>
      </c>
      <c r="N83" s="195">
        <f>GETPIVOTDATA("Sum of Old G E-Learning",'Pivot Table for Fact Book'!$A$3,"State","WV","type",15,"Type2","Four-Year")</f>
        <v>0</v>
      </c>
      <c r="O83" s="196">
        <f>GETPIVOTDATA("Sum of New G E-Learning",'Pivot Table for Fact Book'!$A$3,"State","WV","type",15,"Type2","Four-Year")</f>
        <v>0</v>
      </c>
      <c r="P83" s="197">
        <f>GETPIVOTDATA("Sum of Old G E-Learning",'Pivot Table for Fact Book'!$A$3,"State","WV","Type2","Four-Year")</f>
        <v>59075</v>
      </c>
      <c r="Q83" s="197">
        <f>GETPIVOTDATA("Sum of New G E-Learning",'Pivot Table for Fact Book'!$A$3,"State","WV","Type2","Four-Year")</f>
        <v>60546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CEC5-F4C6-4717-8CD3-55D5A6A6A747}">
  <sheetPr>
    <tabColor rgb="FF006600"/>
  </sheetPr>
  <dimension ref="A1:Z882"/>
  <sheetViews>
    <sheetView workbookViewId="0">
      <selection activeCell="C6" sqref="C6:C7"/>
    </sheetView>
  </sheetViews>
  <sheetFormatPr defaultColWidth="8.84375" defaultRowHeight="14.5"/>
  <cols>
    <col min="1" max="1" width="5.4609375" style="154" customWidth="1"/>
    <col min="2" max="2" width="27.07421875" style="154" bestFit="1" customWidth="1"/>
    <col min="3" max="9" width="10.921875" style="154" bestFit="1" customWidth="1"/>
    <col min="10" max="10" width="13.84375" style="154" bestFit="1" customWidth="1"/>
    <col min="11" max="11" width="3.69140625" style="154" bestFit="1" customWidth="1"/>
    <col min="12" max="12" width="7.4609375" style="154" bestFit="1" customWidth="1"/>
    <col min="13" max="16" width="10.4609375" style="154" bestFit="1" customWidth="1"/>
    <col min="17" max="17" width="13.3828125" style="154" bestFit="1" customWidth="1"/>
    <col min="18" max="19" width="10.53515625" style="154" bestFit="1" customWidth="1"/>
    <col min="20" max="20" width="13.4609375" style="154" bestFit="1" customWidth="1"/>
    <col min="21" max="21" width="8.3828125" style="154" bestFit="1" customWidth="1"/>
    <col min="22" max="22" width="11.23046875" style="154" bestFit="1" customWidth="1"/>
    <col min="23" max="23" width="7.84375" style="154" customWidth="1"/>
    <col min="24" max="25" width="8.69140625" style="154" customWidth="1"/>
    <col min="26" max="26" width="7.84375" style="154" customWidth="1"/>
    <col min="27" max="16384" width="8.84375" style="154"/>
  </cols>
  <sheetData>
    <row r="1" spans="1:26">
      <c r="A1" s="154" t="s">
        <v>563</v>
      </c>
    </row>
    <row r="2" spans="1:26">
      <c r="S2" s="155"/>
      <c r="T2" s="155"/>
    </row>
    <row r="3" spans="1:26" ht="15.5">
      <c r="A3" s="506"/>
      <c r="B3" s="507"/>
      <c r="C3" s="506" t="s">
        <v>564</v>
      </c>
      <c r="D3" s="510" t="s">
        <v>21</v>
      </c>
      <c r="E3" s="510"/>
      <c r="F3" s="510"/>
      <c r="G3" s="510"/>
      <c r="H3" s="510"/>
      <c r="I3" s="510"/>
      <c r="J3" s="533"/>
      <c r="K3" s="510"/>
      <c r="L3" s="510"/>
      <c r="M3" s="510"/>
      <c r="N3" s="510"/>
      <c r="O3" s="533"/>
      <c r="P3" s="510"/>
      <c r="Q3" s="510"/>
      <c r="R3" s="533"/>
      <c r="S3" s="510"/>
      <c r="T3" s="510"/>
      <c r="U3" s="510"/>
      <c r="V3" s="511"/>
      <c r="W3" s="159"/>
      <c r="X3" s="159"/>
      <c r="Y3" s="159"/>
      <c r="Z3" s="159"/>
    </row>
    <row r="4" spans="1:26" ht="15.5">
      <c r="A4" s="508"/>
      <c r="B4" s="509"/>
      <c r="C4" s="506" t="s">
        <v>565</v>
      </c>
      <c r="D4" s="507"/>
      <c r="E4" s="507"/>
      <c r="F4" s="507"/>
      <c r="G4" s="507"/>
      <c r="H4" s="507"/>
      <c r="I4" s="507"/>
      <c r="J4" s="506" t="s">
        <v>566</v>
      </c>
      <c r="K4" s="506">
        <v>14</v>
      </c>
      <c r="L4" s="506" t="s">
        <v>567</v>
      </c>
      <c r="M4" s="506" t="s">
        <v>568</v>
      </c>
      <c r="N4" s="507"/>
      <c r="O4" s="507"/>
      <c r="P4" s="513"/>
      <c r="Q4" s="506" t="s">
        <v>569</v>
      </c>
      <c r="R4" s="506" t="s">
        <v>570</v>
      </c>
      <c r="S4" s="513"/>
      <c r="T4" s="506" t="s">
        <v>571</v>
      </c>
      <c r="U4" s="506" t="s">
        <v>659</v>
      </c>
      <c r="V4" s="512" t="s">
        <v>660</v>
      </c>
      <c r="W4" s="159"/>
      <c r="X4" s="159"/>
      <c r="Y4" s="159"/>
      <c r="Z4" s="159"/>
    </row>
    <row r="5" spans="1:26" ht="15.5">
      <c r="A5" s="532" t="s">
        <v>14</v>
      </c>
      <c r="B5" s="532" t="s">
        <v>572</v>
      </c>
      <c r="C5" s="506">
        <v>1</v>
      </c>
      <c r="D5" s="513">
        <v>2</v>
      </c>
      <c r="E5" s="513">
        <v>3</v>
      </c>
      <c r="F5" s="513">
        <v>4</v>
      </c>
      <c r="G5" s="513">
        <v>5</v>
      </c>
      <c r="H5" s="513">
        <v>6</v>
      </c>
      <c r="I5" s="513">
        <v>15</v>
      </c>
      <c r="J5" s="514"/>
      <c r="K5" s="506">
        <v>14</v>
      </c>
      <c r="L5" s="514"/>
      <c r="M5" s="506">
        <v>7</v>
      </c>
      <c r="N5" s="513">
        <v>8</v>
      </c>
      <c r="O5" s="513">
        <v>9</v>
      </c>
      <c r="P5" s="513">
        <v>10</v>
      </c>
      <c r="Q5" s="514"/>
      <c r="R5" s="506">
        <v>12</v>
      </c>
      <c r="S5" s="513">
        <v>13</v>
      </c>
      <c r="T5" s="514"/>
      <c r="U5" s="506" t="s">
        <v>659</v>
      </c>
      <c r="V5" s="515"/>
      <c r="W5" s="159"/>
      <c r="X5" s="159"/>
      <c r="Y5" s="159"/>
      <c r="Z5" s="159"/>
    </row>
    <row r="6" spans="1:26" s="174" customFormat="1" ht="15.5">
      <c r="A6" s="520" t="s">
        <v>50</v>
      </c>
      <c r="B6" s="520" t="s">
        <v>573</v>
      </c>
      <c r="C6" s="520">
        <v>1976886</v>
      </c>
      <c r="D6" s="520">
        <v>466959</v>
      </c>
      <c r="E6" s="520">
        <v>780241</v>
      </c>
      <c r="F6" s="520">
        <v>237430</v>
      </c>
      <c r="G6" s="520">
        <v>124912</v>
      </c>
      <c r="H6" s="520">
        <v>65486</v>
      </c>
      <c r="I6" s="520">
        <v>13456</v>
      </c>
      <c r="J6" s="519">
        <v>3665370</v>
      </c>
      <c r="K6" s="519"/>
      <c r="L6" s="519"/>
      <c r="M6" s="519"/>
      <c r="N6" s="520">
        <v>366758</v>
      </c>
      <c r="O6" s="520">
        <v>1016846</v>
      </c>
      <c r="P6" s="520">
        <v>315161</v>
      </c>
      <c r="Q6" s="519">
        <v>1698765</v>
      </c>
      <c r="R6" s="519">
        <v>41951</v>
      </c>
      <c r="S6" s="520">
        <v>40961</v>
      </c>
      <c r="T6" s="519">
        <v>82912</v>
      </c>
      <c r="U6" s="519"/>
      <c r="V6" s="521"/>
      <c r="W6" s="159"/>
      <c r="X6" s="159"/>
      <c r="Y6" s="159"/>
      <c r="Z6" s="159"/>
    </row>
    <row r="7" spans="1:26" s="174" customFormat="1" ht="15.5">
      <c r="A7" s="528"/>
      <c r="B7" s="523" t="s">
        <v>574</v>
      </c>
      <c r="C7" s="523">
        <v>1973441</v>
      </c>
      <c r="D7" s="523">
        <v>464800</v>
      </c>
      <c r="E7" s="523">
        <v>814204</v>
      </c>
      <c r="F7" s="523">
        <v>229948</v>
      </c>
      <c r="G7" s="523">
        <v>125391</v>
      </c>
      <c r="H7" s="523">
        <v>64093</v>
      </c>
      <c r="I7" s="523">
        <v>12854</v>
      </c>
      <c r="J7" s="522">
        <v>3684731</v>
      </c>
      <c r="K7" s="522"/>
      <c r="L7" s="522"/>
      <c r="M7" s="522"/>
      <c r="N7" s="523">
        <v>361200</v>
      </c>
      <c r="O7" s="523">
        <v>1002753</v>
      </c>
      <c r="P7" s="523">
        <v>312314</v>
      </c>
      <c r="Q7" s="522">
        <v>1676267</v>
      </c>
      <c r="R7" s="522">
        <v>44337</v>
      </c>
      <c r="S7" s="523">
        <v>45115</v>
      </c>
      <c r="T7" s="522">
        <v>89452</v>
      </c>
      <c r="U7" s="522"/>
      <c r="V7" s="524"/>
      <c r="W7" s="159"/>
      <c r="X7" s="159"/>
      <c r="Y7" s="159"/>
      <c r="Z7" s="159"/>
    </row>
    <row r="8" spans="1:26" s="174" customFormat="1" ht="15.5">
      <c r="A8" s="528"/>
      <c r="B8" s="520" t="s">
        <v>575</v>
      </c>
      <c r="C8" s="520">
        <v>245539</v>
      </c>
      <c r="D8" s="520">
        <v>57916</v>
      </c>
      <c r="E8" s="520">
        <v>191244</v>
      </c>
      <c r="F8" s="520">
        <v>46677</v>
      </c>
      <c r="G8" s="520">
        <v>18257</v>
      </c>
      <c r="H8" s="520">
        <v>53013</v>
      </c>
      <c r="I8" s="520">
        <v>184</v>
      </c>
      <c r="J8" s="519">
        <v>612830</v>
      </c>
      <c r="K8" s="519">
        <v>0</v>
      </c>
      <c r="L8" s="519">
        <v>0</v>
      </c>
      <c r="M8" s="519">
        <v>0</v>
      </c>
      <c r="N8" s="520">
        <v>131264</v>
      </c>
      <c r="O8" s="520">
        <v>248775</v>
      </c>
      <c r="P8" s="520">
        <v>113019</v>
      </c>
      <c r="Q8" s="519">
        <v>493058</v>
      </c>
      <c r="R8" s="519">
        <v>3617</v>
      </c>
      <c r="S8" s="520">
        <v>5452</v>
      </c>
      <c r="T8" s="519">
        <v>9069</v>
      </c>
      <c r="U8" s="519">
        <v>0</v>
      </c>
      <c r="V8" s="521">
        <v>0</v>
      </c>
      <c r="W8" s="159"/>
      <c r="X8" s="159"/>
      <c r="Y8" s="159"/>
      <c r="Z8" s="159"/>
    </row>
    <row r="9" spans="1:26" s="174" customFormat="1" ht="15.5">
      <c r="A9" s="528"/>
      <c r="B9" s="523" t="s">
        <v>576</v>
      </c>
      <c r="C9" s="523">
        <v>293112</v>
      </c>
      <c r="D9" s="523">
        <v>67906</v>
      </c>
      <c r="E9" s="523">
        <v>225721</v>
      </c>
      <c r="F9" s="523">
        <v>47643</v>
      </c>
      <c r="G9" s="523">
        <v>27742</v>
      </c>
      <c r="H9" s="523">
        <v>52577</v>
      </c>
      <c r="I9" s="523">
        <v>449</v>
      </c>
      <c r="J9" s="522">
        <v>715150</v>
      </c>
      <c r="K9" s="522">
        <v>0</v>
      </c>
      <c r="L9" s="522">
        <v>0</v>
      </c>
      <c r="M9" s="522">
        <v>0</v>
      </c>
      <c r="N9" s="523">
        <v>130231</v>
      </c>
      <c r="O9" s="523">
        <v>272651</v>
      </c>
      <c r="P9" s="523">
        <v>115759</v>
      </c>
      <c r="Q9" s="522">
        <v>518641</v>
      </c>
      <c r="R9" s="522">
        <v>6546</v>
      </c>
      <c r="S9" s="523">
        <v>5397</v>
      </c>
      <c r="T9" s="522">
        <v>11943</v>
      </c>
      <c r="U9" s="522">
        <v>0</v>
      </c>
      <c r="V9" s="524">
        <v>0</v>
      </c>
      <c r="W9" s="159"/>
      <c r="X9" s="159"/>
      <c r="Y9" s="159"/>
      <c r="Z9" s="159"/>
    </row>
    <row r="10" spans="1:26" s="174" customFormat="1" ht="15.5">
      <c r="A10" s="528"/>
      <c r="B10" s="520" t="s">
        <v>577</v>
      </c>
      <c r="C10" s="520">
        <v>263744</v>
      </c>
      <c r="D10" s="520">
        <v>48047</v>
      </c>
      <c r="E10" s="520">
        <v>89072</v>
      </c>
      <c r="F10" s="520">
        <v>23018</v>
      </c>
      <c r="G10" s="520">
        <v>60631</v>
      </c>
      <c r="H10" s="520">
        <v>2376</v>
      </c>
      <c r="I10" s="520">
        <v>0</v>
      </c>
      <c r="J10" s="519">
        <v>486888</v>
      </c>
      <c r="K10" s="519"/>
      <c r="L10" s="519"/>
      <c r="M10" s="519"/>
      <c r="N10" s="520">
        <v>0</v>
      </c>
      <c r="O10" s="520">
        <v>0</v>
      </c>
      <c r="P10" s="520">
        <v>0</v>
      </c>
      <c r="Q10" s="519">
        <v>0</v>
      </c>
      <c r="R10" s="519">
        <v>0</v>
      </c>
      <c r="S10" s="520">
        <v>0</v>
      </c>
      <c r="T10" s="519">
        <v>0</v>
      </c>
      <c r="U10" s="519"/>
      <c r="V10" s="521"/>
      <c r="W10" s="159"/>
      <c r="X10" s="159"/>
      <c r="Y10" s="159"/>
      <c r="Z10" s="159"/>
    </row>
    <row r="11" spans="1:26" s="174" customFormat="1" ht="15.5">
      <c r="A11" s="528"/>
      <c r="B11" s="523" t="s">
        <v>578</v>
      </c>
      <c r="C11" s="523">
        <v>265766</v>
      </c>
      <c r="D11" s="523">
        <v>48614</v>
      </c>
      <c r="E11" s="523">
        <v>100452</v>
      </c>
      <c r="F11" s="523">
        <v>23031</v>
      </c>
      <c r="G11" s="523">
        <v>71136</v>
      </c>
      <c r="H11" s="523">
        <v>2415</v>
      </c>
      <c r="I11" s="523">
        <v>0</v>
      </c>
      <c r="J11" s="522">
        <v>511414</v>
      </c>
      <c r="K11" s="522"/>
      <c r="L11" s="522"/>
      <c r="M11" s="522"/>
      <c r="N11" s="523">
        <v>0</v>
      </c>
      <c r="O11" s="523">
        <v>0</v>
      </c>
      <c r="P11" s="523">
        <v>0</v>
      </c>
      <c r="Q11" s="522">
        <v>0</v>
      </c>
      <c r="R11" s="522">
        <v>0</v>
      </c>
      <c r="S11" s="523">
        <v>0</v>
      </c>
      <c r="T11" s="522">
        <v>0</v>
      </c>
      <c r="U11" s="522"/>
      <c r="V11" s="524"/>
      <c r="W11" s="159"/>
      <c r="X11" s="159"/>
      <c r="Y11" s="159"/>
      <c r="Z11" s="159"/>
    </row>
    <row r="12" spans="1:26" s="174" customFormat="1" ht="15.5">
      <c r="A12" s="528"/>
      <c r="B12" s="520" t="s">
        <v>579</v>
      </c>
      <c r="C12" s="520">
        <v>68566</v>
      </c>
      <c r="D12" s="520">
        <v>14784</v>
      </c>
      <c r="E12" s="520">
        <v>51599</v>
      </c>
      <c r="F12" s="520">
        <v>8530</v>
      </c>
      <c r="G12" s="520">
        <v>54109</v>
      </c>
      <c r="H12" s="520">
        <v>2346</v>
      </c>
      <c r="I12" s="520">
        <v>0</v>
      </c>
      <c r="J12" s="519">
        <v>199934</v>
      </c>
      <c r="K12" s="519">
        <v>0</v>
      </c>
      <c r="L12" s="519">
        <v>0</v>
      </c>
      <c r="M12" s="519">
        <v>0</v>
      </c>
      <c r="N12" s="520">
        <v>0</v>
      </c>
      <c r="O12" s="520">
        <v>0</v>
      </c>
      <c r="P12" s="520">
        <v>0</v>
      </c>
      <c r="Q12" s="519">
        <v>0</v>
      </c>
      <c r="R12" s="519">
        <v>0</v>
      </c>
      <c r="S12" s="520">
        <v>0</v>
      </c>
      <c r="T12" s="519">
        <v>0</v>
      </c>
      <c r="U12" s="519">
        <v>0</v>
      </c>
      <c r="V12" s="521">
        <v>0</v>
      </c>
      <c r="W12" s="159"/>
      <c r="X12" s="159"/>
      <c r="Y12" s="159"/>
      <c r="Z12" s="159"/>
    </row>
    <row r="13" spans="1:26" s="174" customFormat="1" ht="15.5">
      <c r="A13" s="523"/>
      <c r="B13" s="523" t="s">
        <v>580</v>
      </c>
      <c r="C13" s="523">
        <v>69470</v>
      </c>
      <c r="D13" s="523">
        <v>15915</v>
      </c>
      <c r="E13" s="523">
        <v>60196</v>
      </c>
      <c r="F13" s="523">
        <v>8023</v>
      </c>
      <c r="G13" s="523">
        <v>65454</v>
      </c>
      <c r="H13" s="523">
        <v>2400</v>
      </c>
      <c r="I13" s="523">
        <v>0</v>
      </c>
      <c r="J13" s="522">
        <v>221458</v>
      </c>
      <c r="K13" s="522">
        <v>0</v>
      </c>
      <c r="L13" s="522">
        <v>0</v>
      </c>
      <c r="M13" s="522">
        <v>0</v>
      </c>
      <c r="N13" s="523">
        <v>0</v>
      </c>
      <c r="O13" s="523">
        <v>0</v>
      </c>
      <c r="P13" s="523">
        <v>0</v>
      </c>
      <c r="Q13" s="522">
        <v>0</v>
      </c>
      <c r="R13" s="522">
        <v>0</v>
      </c>
      <c r="S13" s="523">
        <v>0</v>
      </c>
      <c r="T13" s="522">
        <v>0</v>
      </c>
      <c r="U13" s="522">
        <v>0</v>
      </c>
      <c r="V13" s="524">
        <v>0</v>
      </c>
      <c r="W13" s="159"/>
      <c r="X13" s="159"/>
      <c r="Y13" s="159"/>
      <c r="Z13" s="159"/>
    </row>
    <row r="14" spans="1:26" s="174" customFormat="1" ht="15.5">
      <c r="A14" s="529" t="s">
        <v>81</v>
      </c>
      <c r="B14" s="520" t="s">
        <v>573</v>
      </c>
      <c r="C14" s="517">
        <v>658267</v>
      </c>
      <c r="D14" s="517">
        <v>203956</v>
      </c>
      <c r="E14" s="517">
        <v>766207</v>
      </c>
      <c r="F14" s="517">
        <v>258237</v>
      </c>
      <c r="G14" s="517"/>
      <c r="H14" s="517">
        <v>230655</v>
      </c>
      <c r="I14" s="517">
        <v>17308</v>
      </c>
      <c r="J14" s="516">
        <v>2134630</v>
      </c>
      <c r="K14" s="516"/>
      <c r="L14" s="516"/>
      <c r="M14" s="516"/>
      <c r="N14" s="517">
        <v>148520</v>
      </c>
      <c r="O14" s="517">
        <v>199404</v>
      </c>
      <c r="P14" s="517">
        <v>601572</v>
      </c>
      <c r="Q14" s="516">
        <v>949496</v>
      </c>
      <c r="R14" s="516"/>
      <c r="S14" s="517"/>
      <c r="T14" s="516"/>
      <c r="U14" s="516"/>
      <c r="V14" s="518"/>
      <c r="W14" s="159"/>
      <c r="X14" s="159"/>
      <c r="Y14" s="159"/>
      <c r="Z14" s="159"/>
    </row>
    <row r="15" spans="1:26" s="174" customFormat="1" ht="15.5">
      <c r="A15" s="528"/>
      <c r="B15" s="520" t="s">
        <v>574</v>
      </c>
      <c r="C15" s="520">
        <v>670354</v>
      </c>
      <c r="D15" s="520">
        <v>168675</v>
      </c>
      <c r="E15" s="520">
        <v>756177</v>
      </c>
      <c r="F15" s="520">
        <v>260074</v>
      </c>
      <c r="G15" s="520"/>
      <c r="H15" s="520">
        <v>227132</v>
      </c>
      <c r="I15" s="520">
        <v>19976</v>
      </c>
      <c r="J15" s="519">
        <v>2102388</v>
      </c>
      <c r="K15" s="519"/>
      <c r="L15" s="519"/>
      <c r="M15" s="519"/>
      <c r="N15" s="520">
        <v>149512</v>
      </c>
      <c r="O15" s="520">
        <v>187247</v>
      </c>
      <c r="P15" s="520">
        <v>591570</v>
      </c>
      <c r="Q15" s="519">
        <v>928329</v>
      </c>
      <c r="R15" s="519"/>
      <c r="S15" s="520"/>
      <c r="T15" s="519"/>
      <c r="U15" s="519"/>
      <c r="V15" s="521"/>
      <c r="W15" s="159"/>
      <c r="X15" s="159"/>
      <c r="Y15" s="159"/>
      <c r="Z15" s="159"/>
    </row>
    <row r="16" spans="1:26" s="174" customFormat="1" ht="15.5">
      <c r="A16" s="528"/>
      <c r="B16" s="520" t="s">
        <v>575</v>
      </c>
      <c r="C16" s="520">
        <v>59032</v>
      </c>
      <c r="D16" s="520">
        <v>72603</v>
      </c>
      <c r="E16" s="520">
        <v>170290</v>
      </c>
      <c r="F16" s="520">
        <v>53761</v>
      </c>
      <c r="G16" s="520">
        <v>0</v>
      </c>
      <c r="H16" s="520">
        <v>53243</v>
      </c>
      <c r="I16" s="520">
        <v>5278</v>
      </c>
      <c r="J16" s="519">
        <v>414207</v>
      </c>
      <c r="K16" s="519">
        <v>0</v>
      </c>
      <c r="L16" s="519">
        <v>0</v>
      </c>
      <c r="M16" s="519">
        <v>0</v>
      </c>
      <c r="N16" s="520">
        <v>42628</v>
      </c>
      <c r="O16" s="520">
        <v>61938</v>
      </c>
      <c r="P16" s="520">
        <v>155326</v>
      </c>
      <c r="Q16" s="519">
        <v>259892</v>
      </c>
      <c r="R16" s="519">
        <v>0</v>
      </c>
      <c r="S16" s="520">
        <v>0</v>
      </c>
      <c r="T16" s="519">
        <v>0</v>
      </c>
      <c r="U16" s="519">
        <v>0</v>
      </c>
      <c r="V16" s="521">
        <v>0</v>
      </c>
      <c r="W16" s="159"/>
      <c r="X16" s="159"/>
      <c r="Y16" s="159"/>
      <c r="Z16" s="159"/>
    </row>
    <row r="17" spans="1:26" s="174" customFormat="1" ht="15.5">
      <c r="A17" s="528"/>
      <c r="B17" s="520" t="s">
        <v>576</v>
      </c>
      <c r="C17" s="520">
        <v>65232</v>
      </c>
      <c r="D17" s="520">
        <v>71089</v>
      </c>
      <c r="E17" s="520">
        <v>176715</v>
      </c>
      <c r="F17" s="520">
        <v>53693</v>
      </c>
      <c r="G17" s="520">
        <v>0</v>
      </c>
      <c r="H17" s="520">
        <v>56779</v>
      </c>
      <c r="I17" s="520">
        <v>5321</v>
      </c>
      <c r="J17" s="519">
        <v>428829</v>
      </c>
      <c r="K17" s="519">
        <v>0</v>
      </c>
      <c r="L17" s="519">
        <v>0</v>
      </c>
      <c r="M17" s="519">
        <v>0</v>
      </c>
      <c r="N17" s="520">
        <v>45990</v>
      </c>
      <c r="O17" s="520">
        <v>59060</v>
      </c>
      <c r="P17" s="520">
        <v>181072</v>
      </c>
      <c r="Q17" s="519">
        <v>286122</v>
      </c>
      <c r="R17" s="519">
        <v>0</v>
      </c>
      <c r="S17" s="520">
        <v>0</v>
      </c>
      <c r="T17" s="519">
        <v>0</v>
      </c>
      <c r="U17" s="519">
        <v>0</v>
      </c>
      <c r="V17" s="521">
        <v>0</v>
      </c>
      <c r="W17" s="159"/>
      <c r="X17" s="159"/>
      <c r="Y17" s="159"/>
      <c r="Z17" s="159"/>
    </row>
    <row r="18" spans="1:26" s="174" customFormat="1" ht="15.5">
      <c r="A18" s="528"/>
      <c r="B18" s="520" t="s">
        <v>577</v>
      </c>
      <c r="C18" s="520">
        <v>79091</v>
      </c>
      <c r="D18" s="520">
        <v>42678</v>
      </c>
      <c r="E18" s="520">
        <v>152320</v>
      </c>
      <c r="F18" s="520">
        <v>31482</v>
      </c>
      <c r="G18" s="520"/>
      <c r="H18" s="520">
        <v>1724</v>
      </c>
      <c r="I18" s="520">
        <v>0</v>
      </c>
      <c r="J18" s="519">
        <v>307295</v>
      </c>
      <c r="K18" s="519"/>
      <c r="L18" s="519"/>
      <c r="M18" s="519"/>
      <c r="N18" s="520">
        <v>0</v>
      </c>
      <c r="O18" s="520">
        <v>0</v>
      </c>
      <c r="P18" s="520">
        <v>0</v>
      </c>
      <c r="Q18" s="519">
        <v>0</v>
      </c>
      <c r="R18" s="519"/>
      <c r="S18" s="520"/>
      <c r="T18" s="519"/>
      <c r="U18" s="519"/>
      <c r="V18" s="521"/>
      <c r="W18" s="159"/>
      <c r="X18" s="159"/>
      <c r="Y18" s="159"/>
      <c r="Z18" s="159"/>
    </row>
    <row r="19" spans="1:26" s="174" customFormat="1" ht="15.5">
      <c r="A19" s="528"/>
      <c r="B19" s="520" t="s">
        <v>578</v>
      </c>
      <c r="C19" s="520">
        <v>76358</v>
      </c>
      <c r="D19" s="520">
        <v>41407</v>
      </c>
      <c r="E19" s="520">
        <v>152757</v>
      </c>
      <c r="F19" s="520">
        <v>31589</v>
      </c>
      <c r="G19" s="520"/>
      <c r="H19" s="520">
        <v>2127</v>
      </c>
      <c r="I19" s="520">
        <v>65678</v>
      </c>
      <c r="J19" s="519">
        <v>369916</v>
      </c>
      <c r="K19" s="519"/>
      <c r="L19" s="519"/>
      <c r="M19" s="519"/>
      <c r="N19" s="520">
        <v>0</v>
      </c>
      <c r="O19" s="520">
        <v>0</v>
      </c>
      <c r="P19" s="520">
        <v>0</v>
      </c>
      <c r="Q19" s="519">
        <v>0</v>
      </c>
      <c r="R19" s="519"/>
      <c r="S19" s="520"/>
      <c r="T19" s="519"/>
      <c r="U19" s="519"/>
      <c r="V19" s="521"/>
      <c r="W19" s="159"/>
      <c r="X19" s="159"/>
      <c r="Y19" s="159"/>
      <c r="Z19" s="159"/>
    </row>
    <row r="20" spans="1:26" s="174" customFormat="1" ht="15.5">
      <c r="A20" s="528"/>
      <c r="B20" s="520" t="s">
        <v>579</v>
      </c>
      <c r="C20" s="520">
        <v>25302</v>
      </c>
      <c r="D20" s="520">
        <v>12446</v>
      </c>
      <c r="E20" s="520">
        <v>104393</v>
      </c>
      <c r="F20" s="520">
        <v>24153</v>
      </c>
      <c r="G20" s="520">
        <v>0</v>
      </c>
      <c r="H20" s="520">
        <v>564</v>
      </c>
      <c r="I20" s="520">
        <v>0</v>
      </c>
      <c r="J20" s="519">
        <v>166858</v>
      </c>
      <c r="K20" s="519">
        <v>0</v>
      </c>
      <c r="L20" s="519">
        <v>0</v>
      </c>
      <c r="M20" s="519">
        <v>0</v>
      </c>
      <c r="N20" s="520">
        <v>0</v>
      </c>
      <c r="O20" s="520">
        <v>0</v>
      </c>
      <c r="P20" s="520">
        <v>0</v>
      </c>
      <c r="Q20" s="519">
        <v>0</v>
      </c>
      <c r="R20" s="519">
        <v>0</v>
      </c>
      <c r="S20" s="520">
        <v>0</v>
      </c>
      <c r="T20" s="519">
        <v>0</v>
      </c>
      <c r="U20" s="519">
        <v>0</v>
      </c>
      <c r="V20" s="521">
        <v>0</v>
      </c>
      <c r="W20" s="159"/>
      <c r="X20" s="159"/>
      <c r="Y20" s="159"/>
      <c r="Z20" s="159"/>
    </row>
    <row r="21" spans="1:26" s="174" customFormat="1" ht="15.5">
      <c r="A21" s="530"/>
      <c r="B21" s="520" t="s">
        <v>580</v>
      </c>
      <c r="C21" s="520">
        <v>24966</v>
      </c>
      <c r="D21" s="520">
        <v>11878</v>
      </c>
      <c r="E21" s="520">
        <v>106855</v>
      </c>
      <c r="F21" s="520">
        <v>25563</v>
      </c>
      <c r="G21" s="520">
        <v>0</v>
      </c>
      <c r="H21" s="520">
        <v>845</v>
      </c>
      <c r="I21" s="520">
        <v>7769</v>
      </c>
      <c r="J21" s="519">
        <v>177876</v>
      </c>
      <c r="K21" s="519">
        <v>0</v>
      </c>
      <c r="L21" s="519">
        <v>0</v>
      </c>
      <c r="M21" s="519">
        <v>0</v>
      </c>
      <c r="N21" s="520">
        <v>0</v>
      </c>
      <c r="O21" s="520">
        <v>0</v>
      </c>
      <c r="P21" s="520">
        <v>0</v>
      </c>
      <c r="Q21" s="519">
        <v>0</v>
      </c>
      <c r="R21" s="519">
        <v>0</v>
      </c>
      <c r="S21" s="520">
        <v>0</v>
      </c>
      <c r="T21" s="519">
        <v>0</v>
      </c>
      <c r="U21" s="519">
        <v>0</v>
      </c>
      <c r="V21" s="521">
        <v>0</v>
      </c>
      <c r="W21" s="159"/>
      <c r="X21" s="159"/>
      <c r="Y21" s="159"/>
      <c r="Z21" s="159"/>
    </row>
    <row r="22" spans="1:26" s="174" customFormat="1" ht="15.5">
      <c r="A22" s="517" t="s">
        <v>111</v>
      </c>
      <c r="B22" s="520" t="s">
        <v>573</v>
      </c>
      <c r="C22" s="517">
        <v>593876</v>
      </c>
      <c r="D22" s="517"/>
      <c r="E22" s="517">
        <v>136454</v>
      </c>
      <c r="F22" s="517"/>
      <c r="G22" s="517"/>
      <c r="H22" s="517"/>
      <c r="I22" s="517"/>
      <c r="J22" s="516">
        <v>730330</v>
      </c>
      <c r="K22" s="516"/>
      <c r="L22" s="516"/>
      <c r="M22" s="516"/>
      <c r="N22" s="517"/>
      <c r="O22" s="517">
        <v>270379</v>
      </c>
      <c r="P22" s="517"/>
      <c r="Q22" s="516">
        <v>270379</v>
      </c>
      <c r="R22" s="516"/>
      <c r="S22" s="517"/>
      <c r="T22" s="516"/>
      <c r="U22" s="516"/>
      <c r="V22" s="518"/>
      <c r="W22" s="159"/>
      <c r="X22" s="159"/>
      <c r="Y22" s="159"/>
      <c r="Z22" s="159"/>
    </row>
    <row r="23" spans="1:26" s="174" customFormat="1" ht="15.5">
      <c r="A23" s="528"/>
      <c r="B23" s="520" t="s">
        <v>574</v>
      </c>
      <c r="C23" s="520">
        <v>599291</v>
      </c>
      <c r="D23" s="520"/>
      <c r="E23" s="520">
        <v>128111</v>
      </c>
      <c r="F23" s="520"/>
      <c r="G23" s="520"/>
      <c r="H23" s="520"/>
      <c r="I23" s="520"/>
      <c r="J23" s="519">
        <v>727402</v>
      </c>
      <c r="K23" s="519"/>
      <c r="L23" s="519"/>
      <c r="M23" s="519"/>
      <c r="N23" s="520"/>
      <c r="O23" s="520">
        <v>259787</v>
      </c>
      <c r="P23" s="520"/>
      <c r="Q23" s="519">
        <v>259787</v>
      </c>
      <c r="R23" s="519"/>
      <c r="S23" s="520"/>
      <c r="T23" s="519"/>
      <c r="U23" s="519"/>
      <c r="V23" s="521"/>
      <c r="W23" s="159"/>
      <c r="X23" s="159"/>
      <c r="Y23" s="159"/>
      <c r="Z23" s="159"/>
    </row>
    <row r="24" spans="1:26" s="174" customFormat="1" ht="15.5">
      <c r="A24" s="528"/>
      <c r="B24" s="520" t="s">
        <v>575</v>
      </c>
      <c r="C24" s="520">
        <v>22979</v>
      </c>
      <c r="D24" s="520">
        <v>0</v>
      </c>
      <c r="E24" s="520">
        <v>10455</v>
      </c>
      <c r="F24" s="520">
        <v>0</v>
      </c>
      <c r="G24" s="520">
        <v>0</v>
      </c>
      <c r="H24" s="520">
        <v>0</v>
      </c>
      <c r="I24" s="520">
        <v>0</v>
      </c>
      <c r="J24" s="519">
        <v>33434</v>
      </c>
      <c r="K24" s="519">
        <v>0</v>
      </c>
      <c r="L24" s="519">
        <v>0</v>
      </c>
      <c r="M24" s="519">
        <v>0</v>
      </c>
      <c r="N24" s="520">
        <v>0</v>
      </c>
      <c r="O24" s="520">
        <v>53031</v>
      </c>
      <c r="P24" s="520">
        <v>0</v>
      </c>
      <c r="Q24" s="519">
        <v>53031</v>
      </c>
      <c r="R24" s="519">
        <v>0</v>
      </c>
      <c r="S24" s="520">
        <v>0</v>
      </c>
      <c r="T24" s="519">
        <v>0</v>
      </c>
      <c r="U24" s="519">
        <v>0</v>
      </c>
      <c r="V24" s="521">
        <v>0</v>
      </c>
      <c r="W24" s="159"/>
      <c r="X24" s="159"/>
      <c r="Y24" s="159"/>
      <c r="Z24" s="159"/>
    </row>
    <row r="25" spans="1:26" s="174" customFormat="1" ht="15.5">
      <c r="A25" s="528"/>
      <c r="B25" s="520" t="s">
        <v>576</v>
      </c>
      <c r="C25" s="520">
        <v>24983</v>
      </c>
      <c r="D25" s="520">
        <v>0</v>
      </c>
      <c r="E25" s="520">
        <v>15157</v>
      </c>
      <c r="F25" s="520">
        <v>0</v>
      </c>
      <c r="G25" s="520">
        <v>0</v>
      </c>
      <c r="H25" s="520">
        <v>0</v>
      </c>
      <c r="I25" s="520">
        <v>0</v>
      </c>
      <c r="J25" s="519">
        <v>40140</v>
      </c>
      <c r="K25" s="519">
        <v>0</v>
      </c>
      <c r="L25" s="519">
        <v>0</v>
      </c>
      <c r="M25" s="519">
        <v>0</v>
      </c>
      <c r="N25" s="520">
        <v>0</v>
      </c>
      <c r="O25" s="520">
        <v>54890</v>
      </c>
      <c r="P25" s="520">
        <v>0</v>
      </c>
      <c r="Q25" s="519">
        <v>54890</v>
      </c>
      <c r="R25" s="519">
        <v>0</v>
      </c>
      <c r="S25" s="520">
        <v>0</v>
      </c>
      <c r="T25" s="519">
        <v>0</v>
      </c>
      <c r="U25" s="519">
        <v>0</v>
      </c>
      <c r="V25" s="521">
        <v>0</v>
      </c>
      <c r="W25" s="159"/>
      <c r="X25" s="159"/>
      <c r="Y25" s="159"/>
      <c r="Z25" s="159"/>
    </row>
    <row r="26" spans="1:26" s="174" customFormat="1" ht="15.5">
      <c r="A26" s="528"/>
      <c r="B26" s="520" t="s">
        <v>577</v>
      </c>
      <c r="C26" s="520">
        <v>73413</v>
      </c>
      <c r="D26" s="520"/>
      <c r="E26" s="520">
        <v>6332</v>
      </c>
      <c r="F26" s="520"/>
      <c r="G26" s="520"/>
      <c r="H26" s="520"/>
      <c r="I26" s="520"/>
      <c r="J26" s="519">
        <v>79745</v>
      </c>
      <c r="K26" s="519"/>
      <c r="L26" s="519"/>
      <c r="M26" s="519"/>
      <c r="N26" s="520"/>
      <c r="O26" s="520">
        <v>0</v>
      </c>
      <c r="P26" s="520"/>
      <c r="Q26" s="519">
        <v>0</v>
      </c>
      <c r="R26" s="519"/>
      <c r="S26" s="520"/>
      <c r="T26" s="519"/>
      <c r="U26" s="519"/>
      <c r="V26" s="521"/>
      <c r="W26" s="159"/>
      <c r="X26" s="159"/>
      <c r="Y26" s="159"/>
      <c r="Z26" s="159"/>
    </row>
    <row r="27" spans="1:26" s="174" customFormat="1" ht="15.5">
      <c r="A27" s="528"/>
      <c r="B27" s="520" t="s">
        <v>578</v>
      </c>
      <c r="C27" s="520">
        <v>75200</v>
      </c>
      <c r="D27" s="520"/>
      <c r="E27" s="520">
        <v>7243</v>
      </c>
      <c r="F27" s="520"/>
      <c r="G27" s="520"/>
      <c r="H27" s="520"/>
      <c r="I27" s="520"/>
      <c r="J27" s="519">
        <v>82443</v>
      </c>
      <c r="K27" s="519"/>
      <c r="L27" s="519"/>
      <c r="M27" s="519"/>
      <c r="N27" s="520"/>
      <c r="O27" s="520">
        <v>0</v>
      </c>
      <c r="P27" s="520"/>
      <c r="Q27" s="519">
        <v>0</v>
      </c>
      <c r="R27" s="519"/>
      <c r="S27" s="520"/>
      <c r="T27" s="519"/>
      <c r="U27" s="519"/>
      <c r="V27" s="521"/>
      <c r="W27" s="159"/>
      <c r="X27" s="159"/>
      <c r="Y27" s="159"/>
      <c r="Z27" s="159"/>
    </row>
    <row r="28" spans="1:26" s="174" customFormat="1" ht="15.5">
      <c r="A28" s="528"/>
      <c r="B28" s="520" t="s">
        <v>579</v>
      </c>
      <c r="C28" s="520">
        <v>10153</v>
      </c>
      <c r="D28" s="520">
        <v>0</v>
      </c>
      <c r="E28" s="520">
        <v>1431</v>
      </c>
      <c r="F28" s="520">
        <v>0</v>
      </c>
      <c r="G28" s="520">
        <v>0</v>
      </c>
      <c r="H28" s="520">
        <v>0</v>
      </c>
      <c r="I28" s="520">
        <v>0</v>
      </c>
      <c r="J28" s="519">
        <v>11584</v>
      </c>
      <c r="K28" s="519">
        <v>0</v>
      </c>
      <c r="L28" s="519">
        <v>0</v>
      </c>
      <c r="M28" s="519">
        <v>0</v>
      </c>
      <c r="N28" s="520">
        <v>0</v>
      </c>
      <c r="O28" s="520">
        <v>0</v>
      </c>
      <c r="P28" s="520">
        <v>0</v>
      </c>
      <c r="Q28" s="519">
        <v>0</v>
      </c>
      <c r="R28" s="519">
        <v>0</v>
      </c>
      <c r="S28" s="520">
        <v>0</v>
      </c>
      <c r="T28" s="519">
        <v>0</v>
      </c>
      <c r="U28" s="519">
        <v>0</v>
      </c>
      <c r="V28" s="521">
        <v>0</v>
      </c>
      <c r="W28" s="159"/>
      <c r="X28" s="159"/>
      <c r="Y28" s="159"/>
      <c r="Z28" s="159"/>
    </row>
    <row r="29" spans="1:26" s="174" customFormat="1" ht="15.5">
      <c r="A29" s="528"/>
      <c r="B29" s="520" t="s">
        <v>580</v>
      </c>
      <c r="C29" s="520">
        <v>11193</v>
      </c>
      <c r="D29" s="520">
        <v>0</v>
      </c>
      <c r="E29" s="520">
        <v>2343</v>
      </c>
      <c r="F29" s="520">
        <v>0</v>
      </c>
      <c r="G29" s="520">
        <v>0</v>
      </c>
      <c r="H29" s="520">
        <v>0</v>
      </c>
      <c r="I29" s="520">
        <v>0</v>
      </c>
      <c r="J29" s="519">
        <v>13536</v>
      </c>
      <c r="K29" s="519">
        <v>0</v>
      </c>
      <c r="L29" s="519">
        <v>0</v>
      </c>
      <c r="M29" s="519">
        <v>0</v>
      </c>
      <c r="N29" s="520">
        <v>0</v>
      </c>
      <c r="O29" s="520">
        <v>0</v>
      </c>
      <c r="P29" s="520">
        <v>0</v>
      </c>
      <c r="Q29" s="519">
        <v>0</v>
      </c>
      <c r="R29" s="519">
        <v>0</v>
      </c>
      <c r="S29" s="520">
        <v>0</v>
      </c>
      <c r="T29" s="519">
        <v>0</v>
      </c>
      <c r="U29" s="519">
        <v>0</v>
      </c>
      <c r="V29" s="521">
        <v>0</v>
      </c>
      <c r="W29" s="159"/>
      <c r="X29" s="159"/>
      <c r="Y29" s="159"/>
      <c r="Z29" s="159"/>
    </row>
    <row r="30" spans="1:26" s="174" customFormat="1" ht="15.5">
      <c r="A30" s="529" t="s">
        <v>115</v>
      </c>
      <c r="B30" s="520" t="s">
        <v>573</v>
      </c>
      <c r="C30" s="517"/>
      <c r="D30" s="517"/>
      <c r="E30" s="517"/>
      <c r="F30" s="517"/>
      <c r="G30" s="517"/>
      <c r="H30" s="517"/>
      <c r="I30" s="517"/>
      <c r="J30" s="516"/>
      <c r="K30" s="516"/>
      <c r="L30" s="516"/>
      <c r="M30" s="516">
        <v>8182107</v>
      </c>
      <c r="N30" s="517">
        <v>845236</v>
      </c>
      <c r="O30" s="517"/>
      <c r="P30" s="517">
        <v>42338</v>
      </c>
      <c r="Q30" s="516">
        <v>9069681</v>
      </c>
      <c r="R30" s="516"/>
      <c r="S30" s="517"/>
      <c r="T30" s="516"/>
      <c r="U30" s="516"/>
      <c r="V30" s="518"/>
      <c r="W30" s="159"/>
      <c r="X30" s="159"/>
      <c r="Y30" s="159"/>
      <c r="Z30" s="159"/>
    </row>
    <row r="31" spans="1:26" s="174" customFormat="1" ht="15.5">
      <c r="A31" s="528"/>
      <c r="B31" s="520" t="s">
        <v>574</v>
      </c>
      <c r="C31" s="520"/>
      <c r="D31" s="520"/>
      <c r="E31" s="520"/>
      <c r="F31" s="520"/>
      <c r="G31" s="520"/>
      <c r="H31" s="520"/>
      <c r="I31" s="520"/>
      <c r="J31" s="519"/>
      <c r="K31" s="519"/>
      <c r="L31" s="519"/>
      <c r="M31" s="519">
        <v>8185552</v>
      </c>
      <c r="N31" s="520">
        <v>846901</v>
      </c>
      <c r="O31" s="520"/>
      <c r="P31" s="520">
        <v>41297</v>
      </c>
      <c r="Q31" s="519">
        <v>9073750</v>
      </c>
      <c r="R31" s="519"/>
      <c r="S31" s="520"/>
      <c r="T31" s="519"/>
      <c r="U31" s="519"/>
      <c r="V31" s="521"/>
      <c r="W31" s="159"/>
      <c r="X31" s="159"/>
      <c r="Y31" s="159"/>
      <c r="Z31" s="159"/>
    </row>
    <row r="32" spans="1:26" s="174" customFormat="1" ht="15.5">
      <c r="A32" s="528"/>
      <c r="B32" s="520" t="s">
        <v>575</v>
      </c>
      <c r="C32" s="520">
        <v>0</v>
      </c>
      <c r="D32" s="520">
        <v>0</v>
      </c>
      <c r="E32" s="520">
        <v>0</v>
      </c>
      <c r="F32" s="520">
        <v>0</v>
      </c>
      <c r="G32" s="520">
        <v>0</v>
      </c>
      <c r="H32" s="520">
        <v>0</v>
      </c>
      <c r="I32" s="520">
        <v>0</v>
      </c>
      <c r="J32" s="519">
        <v>0</v>
      </c>
      <c r="K32" s="519">
        <v>0</v>
      </c>
      <c r="L32" s="519">
        <v>0</v>
      </c>
      <c r="M32" s="519">
        <v>2294518</v>
      </c>
      <c r="N32" s="520">
        <v>258871</v>
      </c>
      <c r="O32" s="520">
        <v>0</v>
      </c>
      <c r="P32" s="520">
        <v>14214</v>
      </c>
      <c r="Q32" s="519">
        <v>2567603</v>
      </c>
      <c r="R32" s="519">
        <v>0</v>
      </c>
      <c r="S32" s="520">
        <v>0</v>
      </c>
      <c r="T32" s="519">
        <v>0</v>
      </c>
      <c r="U32" s="519">
        <v>0</v>
      </c>
      <c r="V32" s="521">
        <v>0</v>
      </c>
      <c r="W32" s="159"/>
      <c r="X32" s="159"/>
      <c r="Y32" s="159"/>
      <c r="Z32" s="159"/>
    </row>
    <row r="33" spans="1:26" s="174" customFormat="1" ht="15.5">
      <c r="A33" s="528"/>
      <c r="B33" s="520" t="s">
        <v>576</v>
      </c>
      <c r="C33" s="520">
        <v>0</v>
      </c>
      <c r="D33" s="520">
        <v>0</v>
      </c>
      <c r="E33" s="520">
        <v>0</v>
      </c>
      <c r="F33" s="520">
        <v>0</v>
      </c>
      <c r="G33" s="520">
        <v>0</v>
      </c>
      <c r="H33" s="520">
        <v>0</v>
      </c>
      <c r="I33" s="520">
        <v>0</v>
      </c>
      <c r="J33" s="519">
        <v>0</v>
      </c>
      <c r="K33" s="519">
        <v>0</v>
      </c>
      <c r="L33" s="519">
        <v>0</v>
      </c>
      <c r="M33" s="519">
        <v>2416129</v>
      </c>
      <c r="N33" s="520">
        <v>291456</v>
      </c>
      <c r="O33" s="520">
        <v>0</v>
      </c>
      <c r="P33" s="520">
        <v>14921</v>
      </c>
      <c r="Q33" s="519">
        <v>2722506</v>
      </c>
      <c r="R33" s="519">
        <v>0</v>
      </c>
      <c r="S33" s="520">
        <v>0</v>
      </c>
      <c r="T33" s="519">
        <v>0</v>
      </c>
      <c r="U33" s="519">
        <v>0</v>
      </c>
      <c r="V33" s="521">
        <v>0</v>
      </c>
      <c r="W33" s="159"/>
      <c r="X33" s="159"/>
      <c r="Y33" s="159"/>
      <c r="Z33" s="159"/>
    </row>
    <row r="34" spans="1:26" s="174" customFormat="1" ht="15.5">
      <c r="A34" s="528"/>
      <c r="B34" s="520" t="s">
        <v>577</v>
      </c>
      <c r="C34" s="520"/>
      <c r="D34" s="520"/>
      <c r="E34" s="520"/>
      <c r="F34" s="520"/>
      <c r="G34" s="520"/>
      <c r="H34" s="520"/>
      <c r="I34" s="520"/>
      <c r="J34" s="519"/>
      <c r="K34" s="519"/>
      <c r="L34" s="519"/>
      <c r="M34" s="519">
        <v>0</v>
      </c>
      <c r="N34" s="520">
        <v>0</v>
      </c>
      <c r="O34" s="520"/>
      <c r="P34" s="520">
        <v>0</v>
      </c>
      <c r="Q34" s="519">
        <v>0</v>
      </c>
      <c r="R34" s="519"/>
      <c r="S34" s="520"/>
      <c r="T34" s="519"/>
      <c r="U34" s="519"/>
      <c r="V34" s="521"/>
      <c r="W34" s="159"/>
      <c r="X34" s="159"/>
      <c r="Y34" s="159"/>
      <c r="Z34" s="159"/>
    </row>
    <row r="35" spans="1:26" s="174" customFormat="1" ht="15.5">
      <c r="A35" s="528"/>
      <c r="B35" s="520" t="s">
        <v>578</v>
      </c>
      <c r="C35" s="520"/>
      <c r="D35" s="520"/>
      <c r="E35" s="520"/>
      <c r="F35" s="520"/>
      <c r="G35" s="520"/>
      <c r="H35" s="520"/>
      <c r="I35" s="520"/>
      <c r="J35" s="519"/>
      <c r="K35" s="519"/>
      <c r="L35" s="519"/>
      <c r="M35" s="519">
        <v>0</v>
      </c>
      <c r="N35" s="520">
        <v>0</v>
      </c>
      <c r="O35" s="520"/>
      <c r="P35" s="520">
        <v>0</v>
      </c>
      <c r="Q35" s="519">
        <v>0</v>
      </c>
      <c r="R35" s="519"/>
      <c r="S35" s="520"/>
      <c r="T35" s="519"/>
      <c r="U35" s="519"/>
      <c r="V35" s="521"/>
      <c r="W35" s="159"/>
      <c r="X35" s="159"/>
      <c r="Y35" s="159"/>
      <c r="Z35" s="159"/>
    </row>
    <row r="36" spans="1:26" s="174" customFormat="1" ht="15.5">
      <c r="A36" s="528"/>
      <c r="B36" s="520" t="s">
        <v>579</v>
      </c>
      <c r="C36" s="520">
        <v>0</v>
      </c>
      <c r="D36" s="520">
        <v>0</v>
      </c>
      <c r="E36" s="520">
        <v>0</v>
      </c>
      <c r="F36" s="520">
        <v>0</v>
      </c>
      <c r="G36" s="520">
        <v>0</v>
      </c>
      <c r="H36" s="520">
        <v>0</v>
      </c>
      <c r="I36" s="520">
        <v>0</v>
      </c>
      <c r="J36" s="519">
        <v>0</v>
      </c>
      <c r="K36" s="519">
        <v>0</v>
      </c>
      <c r="L36" s="519">
        <v>0</v>
      </c>
      <c r="M36" s="519">
        <v>0</v>
      </c>
      <c r="N36" s="520">
        <v>0</v>
      </c>
      <c r="O36" s="520">
        <v>0</v>
      </c>
      <c r="P36" s="520">
        <v>0</v>
      </c>
      <c r="Q36" s="519">
        <v>0</v>
      </c>
      <c r="R36" s="519">
        <v>0</v>
      </c>
      <c r="S36" s="520">
        <v>0</v>
      </c>
      <c r="T36" s="519">
        <v>0</v>
      </c>
      <c r="U36" s="519">
        <v>0</v>
      </c>
      <c r="V36" s="521">
        <v>0</v>
      </c>
      <c r="W36" s="159"/>
      <c r="X36" s="159"/>
      <c r="Y36" s="159"/>
      <c r="Z36" s="159"/>
    </row>
    <row r="37" spans="1:26" s="174" customFormat="1" ht="15.5">
      <c r="A37" s="530"/>
      <c r="B37" s="520" t="s">
        <v>580</v>
      </c>
      <c r="C37" s="520">
        <v>0</v>
      </c>
      <c r="D37" s="520">
        <v>0</v>
      </c>
      <c r="E37" s="520">
        <v>0</v>
      </c>
      <c r="F37" s="520">
        <v>0</v>
      </c>
      <c r="G37" s="520">
        <v>0</v>
      </c>
      <c r="H37" s="520">
        <v>0</v>
      </c>
      <c r="I37" s="520">
        <v>0</v>
      </c>
      <c r="J37" s="519">
        <v>0</v>
      </c>
      <c r="K37" s="519">
        <v>0</v>
      </c>
      <c r="L37" s="519">
        <v>0</v>
      </c>
      <c r="M37" s="519">
        <v>0</v>
      </c>
      <c r="N37" s="520">
        <v>0</v>
      </c>
      <c r="O37" s="520">
        <v>0</v>
      </c>
      <c r="P37" s="520">
        <v>0</v>
      </c>
      <c r="Q37" s="519">
        <v>0</v>
      </c>
      <c r="R37" s="519">
        <v>0</v>
      </c>
      <c r="S37" s="520">
        <v>0</v>
      </c>
      <c r="T37" s="519">
        <v>0</v>
      </c>
      <c r="U37" s="519">
        <v>0</v>
      </c>
      <c r="V37" s="521">
        <v>0</v>
      </c>
      <c r="W37" s="159"/>
      <c r="X37" s="159"/>
      <c r="Y37" s="159"/>
      <c r="Z37" s="159"/>
    </row>
    <row r="38" spans="1:26" s="174" customFormat="1" ht="15.5">
      <c r="A38" s="529" t="s">
        <v>142</v>
      </c>
      <c r="B38" s="520" t="s">
        <v>573</v>
      </c>
      <c r="C38" s="517">
        <v>1962423</v>
      </c>
      <c r="D38" s="517">
        <v>448495</v>
      </c>
      <c r="E38" s="517">
        <v>2059953</v>
      </c>
      <c r="F38" s="517">
        <v>1401314.5</v>
      </c>
      <c r="G38" s="517">
        <v>117463</v>
      </c>
      <c r="H38" s="517">
        <v>893995</v>
      </c>
      <c r="I38" s="517"/>
      <c r="J38" s="516">
        <v>6883643.5</v>
      </c>
      <c r="K38" s="516"/>
      <c r="L38" s="516"/>
      <c r="M38" s="516">
        <v>316685</v>
      </c>
      <c r="N38" s="517"/>
      <c r="O38" s="517"/>
      <c r="P38" s="517">
        <v>0</v>
      </c>
      <c r="Q38" s="516">
        <v>316685</v>
      </c>
      <c r="R38" s="516">
        <v>1984110.4</v>
      </c>
      <c r="S38" s="517"/>
      <c r="T38" s="516">
        <v>1984110.4</v>
      </c>
      <c r="U38" s="516"/>
      <c r="V38" s="518"/>
      <c r="W38" s="159"/>
      <c r="X38" s="159"/>
      <c r="Y38" s="159"/>
      <c r="Z38" s="159"/>
    </row>
    <row r="39" spans="1:26" s="174" customFormat="1" ht="15.5">
      <c r="A39" s="528"/>
      <c r="B39" s="520" t="s">
        <v>574</v>
      </c>
      <c r="C39" s="520">
        <v>2018446</v>
      </c>
      <c r="D39" s="520">
        <v>456127.53</v>
      </c>
      <c r="E39" s="520">
        <v>2065777</v>
      </c>
      <c r="F39" s="520">
        <v>1403878</v>
      </c>
      <c r="G39" s="520">
        <v>103628</v>
      </c>
      <c r="H39" s="520">
        <v>880697</v>
      </c>
      <c r="I39" s="520"/>
      <c r="J39" s="519">
        <v>6928553.5300000003</v>
      </c>
      <c r="K39" s="519"/>
      <c r="L39" s="519"/>
      <c r="M39" s="519">
        <v>302780</v>
      </c>
      <c r="N39" s="520"/>
      <c r="O39" s="520"/>
      <c r="P39" s="520">
        <v>0</v>
      </c>
      <c r="Q39" s="519">
        <v>302780</v>
      </c>
      <c r="R39" s="519">
        <v>2038837.4</v>
      </c>
      <c r="S39" s="520"/>
      <c r="T39" s="519">
        <v>2038837.4</v>
      </c>
      <c r="U39" s="519"/>
      <c r="V39" s="521"/>
      <c r="W39" s="159"/>
      <c r="X39" s="159"/>
      <c r="Y39" s="159"/>
      <c r="Z39" s="159"/>
    </row>
    <row r="40" spans="1:26" s="174" customFormat="1" ht="15.5">
      <c r="A40" s="528"/>
      <c r="B40" s="520" t="s">
        <v>575</v>
      </c>
      <c r="C40" s="520">
        <v>266495</v>
      </c>
      <c r="D40" s="520">
        <v>12192</v>
      </c>
      <c r="E40" s="520">
        <v>503798</v>
      </c>
      <c r="F40" s="520">
        <v>267981</v>
      </c>
      <c r="G40" s="520">
        <v>16988</v>
      </c>
      <c r="H40" s="520">
        <v>147743</v>
      </c>
      <c r="I40" s="520">
        <v>0</v>
      </c>
      <c r="J40" s="519">
        <v>1215197</v>
      </c>
      <c r="K40" s="519">
        <v>0</v>
      </c>
      <c r="L40" s="519">
        <v>0</v>
      </c>
      <c r="M40" s="519">
        <v>88708</v>
      </c>
      <c r="N40" s="520">
        <v>0</v>
      </c>
      <c r="O40" s="520">
        <v>0</v>
      </c>
      <c r="P40" s="520">
        <v>0</v>
      </c>
      <c r="Q40" s="519">
        <v>88708</v>
      </c>
      <c r="R40" s="519">
        <v>725058.1</v>
      </c>
      <c r="S40" s="520">
        <v>0</v>
      </c>
      <c r="T40" s="519">
        <v>725058.1</v>
      </c>
      <c r="U40" s="519">
        <v>0</v>
      </c>
      <c r="V40" s="521">
        <v>0</v>
      </c>
      <c r="W40" s="159"/>
      <c r="X40" s="159"/>
      <c r="Y40" s="159"/>
      <c r="Z40" s="159"/>
    </row>
    <row r="41" spans="1:26" s="174" customFormat="1" ht="15.5">
      <c r="A41" s="528"/>
      <c r="B41" s="520" t="s">
        <v>576</v>
      </c>
      <c r="C41" s="520">
        <v>287891</v>
      </c>
      <c r="D41" s="520">
        <v>11076</v>
      </c>
      <c r="E41" s="520">
        <v>589758</v>
      </c>
      <c r="F41" s="520">
        <v>294234</v>
      </c>
      <c r="G41" s="520">
        <v>20081</v>
      </c>
      <c r="H41" s="520">
        <v>158570</v>
      </c>
      <c r="I41" s="520">
        <v>0</v>
      </c>
      <c r="J41" s="519">
        <v>1361610</v>
      </c>
      <c r="K41" s="519">
        <v>0</v>
      </c>
      <c r="L41" s="519">
        <v>0</v>
      </c>
      <c r="M41" s="519">
        <v>88420</v>
      </c>
      <c r="N41" s="520">
        <v>0</v>
      </c>
      <c r="O41" s="520">
        <v>0</v>
      </c>
      <c r="P41" s="520">
        <v>0</v>
      </c>
      <c r="Q41" s="519">
        <v>88420</v>
      </c>
      <c r="R41" s="519">
        <v>789151.5</v>
      </c>
      <c r="S41" s="520">
        <v>0</v>
      </c>
      <c r="T41" s="519">
        <v>789151.5</v>
      </c>
      <c r="U41" s="519">
        <v>0</v>
      </c>
      <c r="V41" s="521">
        <v>0</v>
      </c>
      <c r="W41" s="159"/>
      <c r="X41" s="159"/>
      <c r="Y41" s="159"/>
      <c r="Z41" s="159"/>
    </row>
    <row r="42" spans="1:26" s="174" customFormat="1" ht="15.5">
      <c r="A42" s="528"/>
      <c r="B42" s="520" t="s">
        <v>577</v>
      </c>
      <c r="C42" s="520">
        <v>497854.9</v>
      </c>
      <c r="D42" s="520">
        <v>332827.5</v>
      </c>
      <c r="E42" s="520">
        <v>203821</v>
      </c>
      <c r="F42" s="520">
        <v>289588.5</v>
      </c>
      <c r="G42" s="520">
        <v>3734</v>
      </c>
      <c r="H42" s="520">
        <v>3639</v>
      </c>
      <c r="I42" s="520"/>
      <c r="J42" s="519">
        <v>1331464.8999999999</v>
      </c>
      <c r="K42" s="519"/>
      <c r="L42" s="519"/>
      <c r="M42" s="519">
        <v>0</v>
      </c>
      <c r="N42" s="520"/>
      <c r="O42" s="520"/>
      <c r="P42" s="520">
        <v>0</v>
      </c>
      <c r="Q42" s="519">
        <v>0</v>
      </c>
      <c r="R42" s="519">
        <v>0</v>
      </c>
      <c r="S42" s="520"/>
      <c r="T42" s="519">
        <v>0</v>
      </c>
      <c r="U42" s="519"/>
      <c r="V42" s="521"/>
      <c r="W42" s="159"/>
      <c r="X42" s="159"/>
      <c r="Y42" s="159"/>
      <c r="Z42" s="159"/>
    </row>
    <row r="43" spans="1:26" s="174" customFormat="1" ht="15.5">
      <c r="A43" s="528"/>
      <c r="B43" s="520" t="s">
        <v>578</v>
      </c>
      <c r="C43" s="520">
        <v>506143.2</v>
      </c>
      <c r="D43" s="520">
        <v>375905.5</v>
      </c>
      <c r="E43" s="520">
        <v>212499.1</v>
      </c>
      <c r="F43" s="520">
        <v>297774</v>
      </c>
      <c r="G43" s="520">
        <v>3681</v>
      </c>
      <c r="H43" s="520">
        <v>4734</v>
      </c>
      <c r="I43" s="520"/>
      <c r="J43" s="519">
        <v>1400736.8</v>
      </c>
      <c r="K43" s="519"/>
      <c r="L43" s="519"/>
      <c r="M43" s="519">
        <v>0</v>
      </c>
      <c r="N43" s="520"/>
      <c r="O43" s="520"/>
      <c r="P43" s="520">
        <v>0</v>
      </c>
      <c r="Q43" s="519">
        <v>0</v>
      </c>
      <c r="R43" s="519">
        <v>0</v>
      </c>
      <c r="S43" s="520"/>
      <c r="T43" s="519">
        <v>0</v>
      </c>
      <c r="U43" s="519"/>
      <c r="V43" s="521"/>
      <c r="W43" s="159"/>
      <c r="X43" s="159"/>
      <c r="Y43" s="159"/>
      <c r="Z43" s="159"/>
    </row>
    <row r="44" spans="1:26" s="174" customFormat="1" ht="15.5">
      <c r="A44" s="528"/>
      <c r="B44" s="520" t="s">
        <v>579</v>
      </c>
      <c r="C44" s="520">
        <v>30097</v>
      </c>
      <c r="D44" s="520">
        <v>87090</v>
      </c>
      <c r="E44" s="520">
        <v>135228</v>
      </c>
      <c r="F44" s="520">
        <v>61041</v>
      </c>
      <c r="G44" s="520">
        <v>837</v>
      </c>
      <c r="H44" s="520">
        <v>3210</v>
      </c>
      <c r="I44" s="520">
        <v>0</v>
      </c>
      <c r="J44" s="519">
        <v>317503</v>
      </c>
      <c r="K44" s="519">
        <v>0</v>
      </c>
      <c r="L44" s="519">
        <v>0</v>
      </c>
      <c r="M44" s="519">
        <v>0</v>
      </c>
      <c r="N44" s="520">
        <v>0</v>
      </c>
      <c r="O44" s="520">
        <v>0</v>
      </c>
      <c r="P44" s="520">
        <v>0</v>
      </c>
      <c r="Q44" s="519">
        <v>0</v>
      </c>
      <c r="R44" s="519">
        <v>0</v>
      </c>
      <c r="S44" s="520">
        <v>0</v>
      </c>
      <c r="T44" s="519">
        <v>0</v>
      </c>
      <c r="U44" s="519">
        <v>0</v>
      </c>
      <c r="V44" s="521">
        <v>0</v>
      </c>
      <c r="W44" s="159"/>
      <c r="X44" s="159"/>
      <c r="Y44" s="159"/>
      <c r="Z44" s="159"/>
    </row>
    <row r="45" spans="1:26" s="174" customFormat="1" ht="15.5">
      <c r="A45" s="530"/>
      <c r="B45" s="520" t="s">
        <v>580</v>
      </c>
      <c r="C45" s="520">
        <v>35077.5</v>
      </c>
      <c r="D45" s="520">
        <v>124792</v>
      </c>
      <c r="E45" s="520">
        <v>148016.1</v>
      </c>
      <c r="F45" s="520">
        <v>71428</v>
      </c>
      <c r="G45" s="520">
        <v>708</v>
      </c>
      <c r="H45" s="520">
        <v>4473</v>
      </c>
      <c r="I45" s="520">
        <v>0</v>
      </c>
      <c r="J45" s="519">
        <v>384494.6</v>
      </c>
      <c r="K45" s="519">
        <v>0</v>
      </c>
      <c r="L45" s="519">
        <v>0</v>
      </c>
      <c r="M45" s="519">
        <v>0</v>
      </c>
      <c r="N45" s="520">
        <v>0</v>
      </c>
      <c r="O45" s="520">
        <v>0</v>
      </c>
      <c r="P45" s="520">
        <v>0</v>
      </c>
      <c r="Q45" s="519">
        <v>0</v>
      </c>
      <c r="R45" s="519">
        <v>0</v>
      </c>
      <c r="S45" s="520">
        <v>0</v>
      </c>
      <c r="T45" s="519">
        <v>0</v>
      </c>
      <c r="U45" s="519">
        <v>0</v>
      </c>
      <c r="V45" s="521">
        <v>0</v>
      </c>
      <c r="W45" s="159"/>
      <c r="X45" s="159"/>
      <c r="Y45" s="159"/>
      <c r="Z45" s="159"/>
    </row>
    <row r="46" spans="1:26" s="174" customFormat="1" ht="15.5">
      <c r="A46" s="517" t="s">
        <v>191</v>
      </c>
      <c r="B46" s="520" t="s">
        <v>573</v>
      </c>
      <c r="C46" s="517">
        <v>1057814</v>
      </c>
      <c r="D46" s="517"/>
      <c r="E46" s="517">
        <v>1550869</v>
      </c>
      <c r="F46" s="517">
        <v>43504</v>
      </c>
      <c r="G46" s="517"/>
      <c r="H46" s="517"/>
      <c r="I46" s="517"/>
      <c r="J46" s="516">
        <v>2652187</v>
      </c>
      <c r="K46" s="516"/>
      <c r="L46" s="516"/>
      <c r="M46" s="516"/>
      <c r="N46" s="517">
        <v>380140</v>
      </c>
      <c r="O46" s="517">
        <v>515478</v>
      </c>
      <c r="P46" s="517">
        <v>289741</v>
      </c>
      <c r="Q46" s="516">
        <v>1185359</v>
      </c>
      <c r="R46" s="516">
        <v>149961</v>
      </c>
      <c r="S46" s="517"/>
      <c r="T46" s="516">
        <v>149961</v>
      </c>
      <c r="U46" s="516"/>
      <c r="V46" s="518"/>
      <c r="W46" s="159"/>
      <c r="X46" s="159"/>
      <c r="Y46" s="159"/>
      <c r="Z46" s="159"/>
    </row>
    <row r="47" spans="1:26" s="174" customFormat="1" ht="15.5">
      <c r="A47" s="528"/>
      <c r="B47" s="520" t="s">
        <v>574</v>
      </c>
      <c r="C47" s="520">
        <v>1047414</v>
      </c>
      <c r="D47" s="520"/>
      <c r="E47" s="520">
        <v>1486308.5</v>
      </c>
      <c r="F47" s="520">
        <v>44950.5</v>
      </c>
      <c r="G47" s="520"/>
      <c r="H47" s="520"/>
      <c r="I47" s="520"/>
      <c r="J47" s="519">
        <v>2578673</v>
      </c>
      <c r="K47" s="519"/>
      <c r="L47" s="519"/>
      <c r="M47" s="519"/>
      <c r="N47" s="520">
        <v>387530.02</v>
      </c>
      <c r="O47" s="520">
        <v>400623.07</v>
      </c>
      <c r="P47" s="520">
        <v>387129.47000000003</v>
      </c>
      <c r="Q47" s="519">
        <v>1175282.56</v>
      </c>
      <c r="R47" s="519">
        <v>154521.29999999999</v>
      </c>
      <c r="S47" s="520"/>
      <c r="T47" s="519">
        <v>154521.29999999999</v>
      </c>
      <c r="U47" s="519"/>
      <c r="V47" s="521"/>
      <c r="W47" s="159"/>
      <c r="X47" s="159"/>
      <c r="Y47" s="159"/>
      <c r="Z47" s="159"/>
    </row>
    <row r="48" spans="1:26" s="174" customFormat="1" ht="15.5">
      <c r="A48" s="528"/>
      <c r="B48" s="520" t="s">
        <v>575</v>
      </c>
      <c r="C48" s="520">
        <v>114863</v>
      </c>
      <c r="D48" s="520">
        <v>0</v>
      </c>
      <c r="E48" s="520">
        <v>334952</v>
      </c>
      <c r="F48" s="520">
        <v>13003</v>
      </c>
      <c r="G48" s="520">
        <v>0</v>
      </c>
      <c r="H48" s="520">
        <v>0</v>
      </c>
      <c r="I48" s="520">
        <v>0</v>
      </c>
      <c r="J48" s="519">
        <v>462818</v>
      </c>
      <c r="K48" s="519">
        <v>0</v>
      </c>
      <c r="L48" s="519">
        <v>0</v>
      </c>
      <c r="M48" s="519">
        <v>0</v>
      </c>
      <c r="N48" s="520">
        <v>134765</v>
      </c>
      <c r="O48" s="520">
        <v>246133</v>
      </c>
      <c r="P48" s="520">
        <v>136373</v>
      </c>
      <c r="Q48" s="519">
        <v>517271</v>
      </c>
      <c r="R48" s="519">
        <v>47115</v>
      </c>
      <c r="S48" s="520">
        <v>0</v>
      </c>
      <c r="T48" s="519">
        <v>47115</v>
      </c>
      <c r="U48" s="519">
        <v>0</v>
      </c>
      <c r="V48" s="521">
        <v>0</v>
      </c>
      <c r="W48" s="159"/>
      <c r="X48" s="159"/>
      <c r="Y48" s="159"/>
      <c r="Z48" s="159"/>
    </row>
    <row r="49" spans="1:26" s="174" customFormat="1" ht="15.5">
      <c r="A49" s="528"/>
      <c r="B49" s="520" t="s">
        <v>576</v>
      </c>
      <c r="C49" s="520">
        <v>124082</v>
      </c>
      <c r="D49" s="520">
        <v>0</v>
      </c>
      <c r="E49" s="520">
        <v>338293</v>
      </c>
      <c r="F49" s="520">
        <v>15844</v>
      </c>
      <c r="G49" s="520">
        <v>0</v>
      </c>
      <c r="H49" s="520">
        <v>0</v>
      </c>
      <c r="I49" s="520">
        <v>0</v>
      </c>
      <c r="J49" s="519">
        <v>478219</v>
      </c>
      <c r="K49" s="519">
        <v>0</v>
      </c>
      <c r="L49" s="519">
        <v>0</v>
      </c>
      <c r="M49" s="519">
        <v>0</v>
      </c>
      <c r="N49" s="520">
        <v>137332</v>
      </c>
      <c r="O49" s="520">
        <v>182651.1</v>
      </c>
      <c r="P49" s="520">
        <v>193135.8</v>
      </c>
      <c r="Q49" s="519">
        <v>513118.89999999997</v>
      </c>
      <c r="R49" s="519">
        <v>51906</v>
      </c>
      <c r="S49" s="520">
        <v>0</v>
      </c>
      <c r="T49" s="519">
        <v>51906</v>
      </c>
      <c r="U49" s="519">
        <v>0</v>
      </c>
      <c r="V49" s="521">
        <v>0</v>
      </c>
      <c r="W49" s="159"/>
      <c r="X49" s="159"/>
      <c r="Y49" s="159"/>
      <c r="Z49" s="159"/>
    </row>
    <row r="50" spans="1:26" s="174" customFormat="1" ht="15.5">
      <c r="A50" s="528"/>
      <c r="B50" s="520" t="s">
        <v>577</v>
      </c>
      <c r="C50" s="520">
        <v>164016</v>
      </c>
      <c r="D50" s="520"/>
      <c r="E50" s="520">
        <v>154624</v>
      </c>
      <c r="F50" s="520">
        <v>1885</v>
      </c>
      <c r="G50" s="520"/>
      <c r="H50" s="520"/>
      <c r="I50" s="520"/>
      <c r="J50" s="519">
        <v>320525</v>
      </c>
      <c r="K50" s="519"/>
      <c r="L50" s="519"/>
      <c r="M50" s="519"/>
      <c r="N50" s="520">
        <v>0</v>
      </c>
      <c r="O50" s="520">
        <v>0</v>
      </c>
      <c r="P50" s="520">
        <v>0</v>
      </c>
      <c r="Q50" s="519">
        <v>0</v>
      </c>
      <c r="R50" s="519">
        <v>0</v>
      </c>
      <c r="S50" s="520"/>
      <c r="T50" s="519">
        <v>0</v>
      </c>
      <c r="U50" s="519"/>
      <c r="V50" s="521"/>
      <c r="W50" s="159"/>
      <c r="X50" s="159"/>
      <c r="Y50" s="159"/>
      <c r="Z50" s="159"/>
    </row>
    <row r="51" spans="1:26" s="174" customFormat="1" ht="15.5">
      <c r="A51" s="528"/>
      <c r="B51" s="520" t="s">
        <v>578</v>
      </c>
      <c r="C51" s="520">
        <v>162085</v>
      </c>
      <c r="D51" s="520"/>
      <c r="E51" s="520">
        <v>168411.5</v>
      </c>
      <c r="F51" s="520">
        <v>1714.5</v>
      </c>
      <c r="G51" s="520"/>
      <c r="H51" s="520"/>
      <c r="I51" s="520"/>
      <c r="J51" s="519">
        <v>332211</v>
      </c>
      <c r="K51" s="519"/>
      <c r="L51" s="519"/>
      <c r="M51" s="519"/>
      <c r="N51" s="520">
        <v>0</v>
      </c>
      <c r="O51" s="520">
        <v>0</v>
      </c>
      <c r="P51" s="520">
        <v>0</v>
      </c>
      <c r="Q51" s="519">
        <v>0</v>
      </c>
      <c r="R51" s="519">
        <v>0</v>
      </c>
      <c r="S51" s="520"/>
      <c r="T51" s="519">
        <v>0</v>
      </c>
      <c r="U51" s="519"/>
      <c r="V51" s="521"/>
      <c r="W51" s="159"/>
      <c r="X51" s="159"/>
      <c r="Y51" s="159"/>
      <c r="Z51" s="159"/>
    </row>
    <row r="52" spans="1:26" s="174" customFormat="1" ht="15.5">
      <c r="A52" s="528"/>
      <c r="B52" s="520" t="s">
        <v>579</v>
      </c>
      <c r="C52" s="520">
        <v>38829</v>
      </c>
      <c r="D52" s="520">
        <v>0</v>
      </c>
      <c r="E52" s="520">
        <v>83918</v>
      </c>
      <c r="F52" s="520">
        <v>390</v>
      </c>
      <c r="G52" s="520">
        <v>0</v>
      </c>
      <c r="H52" s="520">
        <v>0</v>
      </c>
      <c r="I52" s="520">
        <v>0</v>
      </c>
      <c r="J52" s="519">
        <v>123137</v>
      </c>
      <c r="K52" s="519">
        <v>0</v>
      </c>
      <c r="L52" s="519">
        <v>0</v>
      </c>
      <c r="M52" s="519">
        <v>0</v>
      </c>
      <c r="N52" s="520">
        <v>0</v>
      </c>
      <c r="O52" s="520">
        <v>0</v>
      </c>
      <c r="P52" s="520">
        <v>0</v>
      </c>
      <c r="Q52" s="519">
        <v>0</v>
      </c>
      <c r="R52" s="519">
        <v>0</v>
      </c>
      <c r="S52" s="520">
        <v>0</v>
      </c>
      <c r="T52" s="519">
        <v>0</v>
      </c>
      <c r="U52" s="519">
        <v>0</v>
      </c>
      <c r="V52" s="521">
        <v>0</v>
      </c>
      <c r="W52" s="159"/>
      <c r="X52" s="159"/>
      <c r="Y52" s="159"/>
      <c r="Z52" s="159"/>
    </row>
    <row r="53" spans="1:26" s="174" customFormat="1" ht="15.5">
      <c r="A53" s="530"/>
      <c r="B53" s="520" t="s">
        <v>580</v>
      </c>
      <c r="C53" s="520">
        <v>44255.5</v>
      </c>
      <c r="D53" s="520">
        <v>0</v>
      </c>
      <c r="E53" s="520">
        <v>101180</v>
      </c>
      <c r="F53" s="520">
        <v>471</v>
      </c>
      <c r="G53" s="520">
        <v>0</v>
      </c>
      <c r="H53" s="520">
        <v>0</v>
      </c>
      <c r="I53" s="520">
        <v>0</v>
      </c>
      <c r="J53" s="519">
        <v>145906.5</v>
      </c>
      <c r="K53" s="519">
        <v>0</v>
      </c>
      <c r="L53" s="519">
        <v>0</v>
      </c>
      <c r="M53" s="519">
        <v>0</v>
      </c>
      <c r="N53" s="520">
        <v>0</v>
      </c>
      <c r="O53" s="520">
        <v>0</v>
      </c>
      <c r="P53" s="520">
        <v>0</v>
      </c>
      <c r="Q53" s="519">
        <v>0</v>
      </c>
      <c r="R53" s="519">
        <v>0</v>
      </c>
      <c r="S53" s="520">
        <v>0</v>
      </c>
      <c r="T53" s="519">
        <v>0</v>
      </c>
      <c r="U53" s="519">
        <v>0</v>
      </c>
      <c r="V53" s="521">
        <v>0</v>
      </c>
      <c r="W53" s="159"/>
      <c r="X53" s="159"/>
      <c r="Y53" s="159"/>
      <c r="Z53" s="159"/>
    </row>
    <row r="54" spans="1:26" s="174" customFormat="1" ht="15.5">
      <c r="A54" s="517" t="s">
        <v>216</v>
      </c>
      <c r="B54" s="520" t="s">
        <v>573</v>
      </c>
      <c r="C54" s="517">
        <v>697351.99999999977</v>
      </c>
      <c r="D54" s="517">
        <v>840339.00000000012</v>
      </c>
      <c r="E54" s="517">
        <v>856987.99999999907</v>
      </c>
      <c r="F54" s="517">
        <v>574917.99999999953</v>
      </c>
      <c r="G54" s="517">
        <v>48565.000000000015</v>
      </c>
      <c r="H54" s="517">
        <v>74440</v>
      </c>
      <c r="I54" s="517">
        <v>0</v>
      </c>
      <c r="J54" s="516">
        <v>3092601.9999999986</v>
      </c>
      <c r="K54" s="516"/>
      <c r="L54" s="516"/>
      <c r="M54" s="516"/>
      <c r="N54" s="517">
        <v>443524.99999999977</v>
      </c>
      <c r="O54" s="517">
        <v>419954.00000000041</v>
      </c>
      <c r="P54" s="517">
        <v>174002.00000000003</v>
      </c>
      <c r="Q54" s="516">
        <v>1037481.0000000002</v>
      </c>
      <c r="R54" s="516">
        <v>227162.99999999997</v>
      </c>
      <c r="S54" s="517">
        <v>23316.999999999996</v>
      </c>
      <c r="T54" s="516">
        <v>250479.99999999997</v>
      </c>
      <c r="U54" s="516"/>
      <c r="V54" s="518"/>
      <c r="W54" s="159"/>
      <c r="X54" s="159"/>
      <c r="Y54" s="159"/>
      <c r="Z54" s="159"/>
    </row>
    <row r="55" spans="1:26" s="174" customFormat="1" ht="15.5">
      <c r="A55" s="528"/>
      <c r="B55" s="520" t="s">
        <v>574</v>
      </c>
      <c r="C55" s="520">
        <v>701521.99999999988</v>
      </c>
      <c r="D55" s="520">
        <v>818877.99999999953</v>
      </c>
      <c r="E55" s="520">
        <v>848338.00000000023</v>
      </c>
      <c r="F55" s="520">
        <v>579768.00000000047</v>
      </c>
      <c r="G55" s="520">
        <v>46277</v>
      </c>
      <c r="H55" s="520">
        <v>75010</v>
      </c>
      <c r="I55" s="520">
        <v>0</v>
      </c>
      <c r="J55" s="519">
        <v>3069793.0000000005</v>
      </c>
      <c r="K55" s="519"/>
      <c r="L55" s="519"/>
      <c r="M55" s="519"/>
      <c r="N55" s="520">
        <v>440309.99999999988</v>
      </c>
      <c r="O55" s="520">
        <v>435047.5</v>
      </c>
      <c r="P55" s="520">
        <v>167241</v>
      </c>
      <c r="Q55" s="519">
        <v>1042598.4999999999</v>
      </c>
      <c r="R55" s="519">
        <v>236716.50000000006</v>
      </c>
      <c r="S55" s="520">
        <v>24617.999999999996</v>
      </c>
      <c r="T55" s="519">
        <v>261334.50000000006</v>
      </c>
      <c r="U55" s="519"/>
      <c r="V55" s="521"/>
      <c r="W55" s="159"/>
      <c r="X55" s="159"/>
      <c r="Y55" s="159"/>
      <c r="Z55" s="159"/>
    </row>
    <row r="56" spans="1:26" s="174" customFormat="1" ht="15.5">
      <c r="A56" s="528"/>
      <c r="B56" s="520" t="s">
        <v>575</v>
      </c>
      <c r="C56" s="520">
        <v>25084.6043165468</v>
      </c>
      <c r="D56" s="520">
        <v>107749.6476658301</v>
      </c>
      <c r="E56" s="520">
        <v>167076.85480734211</v>
      </c>
      <c r="F56" s="520">
        <v>158654.23979978787</v>
      </c>
      <c r="G56" s="520">
        <v>6866.7725409836103</v>
      </c>
      <c r="H56" s="520">
        <v>27935.301818181801</v>
      </c>
      <c r="I56" s="520">
        <v>0</v>
      </c>
      <c r="J56" s="519">
        <v>493367.42094867228</v>
      </c>
      <c r="K56" s="519">
        <v>0</v>
      </c>
      <c r="L56" s="519">
        <v>0</v>
      </c>
      <c r="M56" s="519">
        <v>0</v>
      </c>
      <c r="N56" s="520">
        <v>80400.4229875858</v>
      </c>
      <c r="O56" s="520">
        <v>102917.94530187659</v>
      </c>
      <c r="P56" s="520">
        <v>46255.566385984035</v>
      </c>
      <c r="Q56" s="519">
        <v>229573.93467544645</v>
      </c>
      <c r="R56" s="519">
        <v>47045.246765715878</v>
      </c>
      <c r="S56" s="520">
        <v>22.550290135396502</v>
      </c>
      <c r="T56" s="519">
        <v>47067.797055851275</v>
      </c>
      <c r="U56" s="519">
        <v>0</v>
      </c>
      <c r="V56" s="521">
        <v>0</v>
      </c>
      <c r="W56" s="159"/>
      <c r="X56" s="159"/>
      <c r="Y56" s="159"/>
      <c r="Z56" s="159"/>
    </row>
    <row r="57" spans="1:26" s="174" customFormat="1" ht="15.5">
      <c r="A57" s="528"/>
      <c r="B57" s="520" t="s">
        <v>576</v>
      </c>
      <c r="C57" s="520">
        <v>32239.3935815148</v>
      </c>
      <c r="D57" s="520">
        <v>114972.1198773135</v>
      </c>
      <c r="E57" s="520">
        <v>169249.91522992618</v>
      </c>
      <c r="F57" s="520">
        <v>165778.61119046458</v>
      </c>
      <c r="G57" s="520">
        <v>14010.8125</v>
      </c>
      <c r="H57" s="520">
        <v>31302.9666430092</v>
      </c>
      <c r="I57" s="520">
        <v>0</v>
      </c>
      <c r="J57" s="519">
        <v>527553.81902222824</v>
      </c>
      <c r="K57" s="519">
        <v>0</v>
      </c>
      <c r="L57" s="519">
        <v>0</v>
      </c>
      <c r="M57" s="519">
        <v>0</v>
      </c>
      <c r="N57" s="520">
        <v>92750.940262199903</v>
      </c>
      <c r="O57" s="520">
        <v>125060.47305814609</v>
      </c>
      <c r="P57" s="520">
        <v>48016.242073575006</v>
      </c>
      <c r="Q57" s="519">
        <v>265827.65539392101</v>
      </c>
      <c r="R57" s="519">
        <v>52180.760199255834</v>
      </c>
      <c r="S57" s="520">
        <v>149.502024291498</v>
      </c>
      <c r="T57" s="519">
        <v>52330.262223547332</v>
      </c>
      <c r="U57" s="519">
        <v>0</v>
      </c>
      <c r="V57" s="521">
        <v>0</v>
      </c>
      <c r="W57" s="159"/>
      <c r="X57" s="159"/>
      <c r="Y57" s="159"/>
      <c r="Z57" s="159"/>
    </row>
    <row r="58" spans="1:26" s="174" customFormat="1" ht="15.5">
      <c r="A58" s="528"/>
      <c r="B58" s="520" t="s">
        <v>577</v>
      </c>
      <c r="C58" s="520">
        <v>137669.49999999959</v>
      </c>
      <c r="D58" s="520">
        <v>78522.999999999927</v>
      </c>
      <c r="E58" s="520">
        <v>76911.999999999985</v>
      </c>
      <c r="F58" s="520">
        <v>114669.99999999997</v>
      </c>
      <c r="G58" s="520">
        <v>9486</v>
      </c>
      <c r="H58" s="520">
        <v>0</v>
      </c>
      <c r="I58" s="520">
        <v>17064</v>
      </c>
      <c r="J58" s="519">
        <v>434324.49999999953</v>
      </c>
      <c r="K58" s="519"/>
      <c r="L58" s="519"/>
      <c r="M58" s="519"/>
      <c r="N58" s="520">
        <v>0</v>
      </c>
      <c r="O58" s="520">
        <v>0</v>
      </c>
      <c r="P58" s="520">
        <v>0</v>
      </c>
      <c r="Q58" s="519">
        <v>0</v>
      </c>
      <c r="R58" s="519">
        <v>0</v>
      </c>
      <c r="S58" s="520">
        <v>0</v>
      </c>
      <c r="T58" s="519">
        <v>0</v>
      </c>
      <c r="U58" s="519"/>
      <c r="V58" s="521"/>
      <c r="W58" s="159"/>
      <c r="X58" s="159"/>
      <c r="Y58" s="159"/>
      <c r="Z58" s="159"/>
    </row>
    <row r="59" spans="1:26" s="174" customFormat="1" ht="15.5">
      <c r="A59" s="528"/>
      <c r="B59" s="520" t="s">
        <v>578</v>
      </c>
      <c r="C59" s="520">
        <v>143983.50000000038</v>
      </c>
      <c r="D59" s="520">
        <v>84068.000000000015</v>
      </c>
      <c r="E59" s="520">
        <v>82058.999999999971</v>
      </c>
      <c r="F59" s="520">
        <v>140349.00000000003</v>
      </c>
      <c r="G59" s="520">
        <v>8874</v>
      </c>
      <c r="H59" s="520">
        <v>0</v>
      </c>
      <c r="I59" s="520">
        <v>17788</v>
      </c>
      <c r="J59" s="519">
        <v>477121.50000000035</v>
      </c>
      <c r="K59" s="519"/>
      <c r="L59" s="519"/>
      <c r="M59" s="519"/>
      <c r="N59" s="520">
        <v>0</v>
      </c>
      <c r="O59" s="520">
        <v>0</v>
      </c>
      <c r="P59" s="520">
        <v>0</v>
      </c>
      <c r="Q59" s="519">
        <v>0</v>
      </c>
      <c r="R59" s="519">
        <v>0</v>
      </c>
      <c r="S59" s="520">
        <v>0</v>
      </c>
      <c r="T59" s="519">
        <v>0</v>
      </c>
      <c r="U59" s="519"/>
      <c r="V59" s="521"/>
      <c r="W59" s="159"/>
      <c r="X59" s="159"/>
      <c r="Y59" s="159"/>
      <c r="Z59" s="159"/>
    </row>
    <row r="60" spans="1:26" s="174" customFormat="1" ht="15.5">
      <c r="A60" s="528"/>
      <c r="B60" s="520" t="s">
        <v>579</v>
      </c>
      <c r="C60" s="520">
        <v>8064.9970708845904</v>
      </c>
      <c r="D60" s="520">
        <v>13916.998361045331</v>
      </c>
      <c r="E60" s="520">
        <v>32347.08339375833</v>
      </c>
      <c r="F60" s="520">
        <v>63984.011587648456</v>
      </c>
      <c r="G60" s="520">
        <v>1267.5258620689699</v>
      </c>
      <c r="H60" s="520">
        <v>0</v>
      </c>
      <c r="I60" s="520">
        <v>606</v>
      </c>
      <c r="J60" s="519">
        <v>120186.61627540569</v>
      </c>
      <c r="K60" s="519">
        <v>0</v>
      </c>
      <c r="L60" s="519">
        <v>0</v>
      </c>
      <c r="M60" s="519">
        <v>0</v>
      </c>
      <c r="N60" s="520">
        <v>0</v>
      </c>
      <c r="O60" s="520">
        <v>0</v>
      </c>
      <c r="P60" s="520">
        <v>0</v>
      </c>
      <c r="Q60" s="519">
        <v>0</v>
      </c>
      <c r="R60" s="519">
        <v>0</v>
      </c>
      <c r="S60" s="520">
        <v>0</v>
      </c>
      <c r="T60" s="519">
        <v>0</v>
      </c>
      <c r="U60" s="519">
        <v>0</v>
      </c>
      <c r="V60" s="521">
        <v>0</v>
      </c>
      <c r="W60" s="159"/>
      <c r="X60" s="159"/>
      <c r="Y60" s="159"/>
      <c r="Z60" s="159"/>
    </row>
    <row r="61" spans="1:26" s="174" customFormat="1" ht="15.5">
      <c r="A61" s="528"/>
      <c r="B61" s="520" t="s">
        <v>580</v>
      </c>
      <c r="C61" s="520">
        <v>10564.768295056399</v>
      </c>
      <c r="D61" s="520">
        <v>17434.372462848209</v>
      </c>
      <c r="E61" s="520">
        <v>36810.681119204557</v>
      </c>
      <c r="F61" s="520">
        <v>96493.805965943029</v>
      </c>
      <c r="G61" s="520">
        <v>2386.8000000000002</v>
      </c>
      <c r="H61" s="520">
        <v>0</v>
      </c>
      <c r="I61" s="520">
        <v>1449</v>
      </c>
      <c r="J61" s="519">
        <v>165139.4278430522</v>
      </c>
      <c r="K61" s="519">
        <v>0</v>
      </c>
      <c r="L61" s="519">
        <v>0</v>
      </c>
      <c r="M61" s="519">
        <v>0</v>
      </c>
      <c r="N61" s="520">
        <v>0</v>
      </c>
      <c r="O61" s="520">
        <v>0</v>
      </c>
      <c r="P61" s="520">
        <v>0</v>
      </c>
      <c r="Q61" s="519">
        <v>0</v>
      </c>
      <c r="R61" s="519">
        <v>0</v>
      </c>
      <c r="S61" s="520">
        <v>0</v>
      </c>
      <c r="T61" s="519">
        <v>0</v>
      </c>
      <c r="U61" s="519">
        <v>0</v>
      </c>
      <c r="V61" s="521">
        <v>0</v>
      </c>
      <c r="W61" s="159"/>
      <c r="X61" s="159"/>
      <c r="Y61" s="159"/>
      <c r="Z61" s="159"/>
    </row>
    <row r="62" spans="1:26" s="174" customFormat="1" ht="15.5">
      <c r="A62" s="517" t="s">
        <v>247</v>
      </c>
      <c r="B62" s="520" t="s">
        <v>573</v>
      </c>
      <c r="C62" s="517">
        <v>864022</v>
      </c>
      <c r="D62" s="517">
        <v>512704</v>
      </c>
      <c r="E62" s="517">
        <v>609563.5</v>
      </c>
      <c r="F62" s="517">
        <v>579529</v>
      </c>
      <c r="G62" s="517">
        <v>61715</v>
      </c>
      <c r="H62" s="517">
        <v>48085.5</v>
      </c>
      <c r="I62" s="517">
        <v>845319</v>
      </c>
      <c r="J62" s="516">
        <v>3520938</v>
      </c>
      <c r="K62" s="516"/>
      <c r="L62" s="516"/>
      <c r="M62" s="516"/>
      <c r="N62" s="517">
        <v>1804220</v>
      </c>
      <c r="O62" s="517">
        <v>568526.9</v>
      </c>
      <c r="P62" s="517">
        <v>193597</v>
      </c>
      <c r="Q62" s="516">
        <v>2566343.9</v>
      </c>
      <c r="R62" s="516"/>
      <c r="S62" s="517"/>
      <c r="T62" s="516"/>
      <c r="U62" s="516"/>
      <c r="V62" s="518"/>
      <c r="W62" s="159"/>
      <c r="X62" s="159"/>
      <c r="Y62" s="159"/>
      <c r="Z62" s="159"/>
    </row>
    <row r="63" spans="1:26" s="174" customFormat="1" ht="15.5">
      <c r="A63" s="528"/>
      <c r="B63" s="520" t="s">
        <v>574</v>
      </c>
      <c r="C63" s="520">
        <v>871990</v>
      </c>
      <c r="D63" s="520">
        <v>498799.5</v>
      </c>
      <c r="E63" s="520">
        <v>598556.5</v>
      </c>
      <c r="F63" s="520">
        <v>559879</v>
      </c>
      <c r="G63" s="520">
        <v>60266</v>
      </c>
      <c r="H63" s="520">
        <v>46862</v>
      </c>
      <c r="I63" s="520">
        <v>835132.5</v>
      </c>
      <c r="J63" s="519">
        <v>3471485.5</v>
      </c>
      <c r="K63" s="519"/>
      <c r="L63" s="519"/>
      <c r="M63" s="519"/>
      <c r="N63" s="520">
        <v>1776033.41</v>
      </c>
      <c r="O63" s="520">
        <v>546973.5</v>
      </c>
      <c r="P63" s="520">
        <v>187410.5</v>
      </c>
      <c r="Q63" s="519">
        <v>2510417.41</v>
      </c>
      <c r="R63" s="519"/>
      <c r="S63" s="520"/>
      <c r="T63" s="519"/>
      <c r="U63" s="519"/>
      <c r="V63" s="521"/>
      <c r="W63" s="159"/>
      <c r="X63" s="159"/>
      <c r="Y63" s="159"/>
      <c r="Z63" s="159"/>
    </row>
    <row r="64" spans="1:26" s="174" customFormat="1" ht="15.5">
      <c r="A64" s="528"/>
      <c r="B64" s="520" t="s">
        <v>575</v>
      </c>
      <c r="C64" s="520">
        <v>40504</v>
      </c>
      <c r="D64" s="520">
        <v>56680</v>
      </c>
      <c r="E64" s="520">
        <v>76954</v>
      </c>
      <c r="F64" s="520">
        <v>100101</v>
      </c>
      <c r="G64" s="520">
        <v>13074</v>
      </c>
      <c r="H64" s="520">
        <v>72</v>
      </c>
      <c r="I64" s="520">
        <v>784493.5</v>
      </c>
      <c r="J64" s="519">
        <v>1071878.5</v>
      </c>
      <c r="K64" s="519">
        <v>0</v>
      </c>
      <c r="L64" s="519">
        <v>0</v>
      </c>
      <c r="M64" s="519">
        <v>0</v>
      </c>
      <c r="N64" s="520">
        <v>306099</v>
      </c>
      <c r="O64" s="520">
        <v>163633</v>
      </c>
      <c r="P64" s="520">
        <v>47790</v>
      </c>
      <c r="Q64" s="519">
        <v>517522</v>
      </c>
      <c r="R64" s="519">
        <v>0</v>
      </c>
      <c r="S64" s="520">
        <v>0</v>
      </c>
      <c r="T64" s="519">
        <v>0</v>
      </c>
      <c r="U64" s="519">
        <v>0</v>
      </c>
      <c r="V64" s="521">
        <v>0</v>
      </c>
      <c r="W64" s="159"/>
      <c r="X64" s="159"/>
      <c r="Y64" s="159"/>
      <c r="Z64" s="159"/>
    </row>
    <row r="65" spans="1:26" s="174" customFormat="1" ht="15.5">
      <c r="A65" s="528"/>
      <c r="B65" s="520" t="s">
        <v>576</v>
      </c>
      <c r="C65" s="520">
        <v>48326</v>
      </c>
      <c r="D65" s="520">
        <v>66245</v>
      </c>
      <c r="E65" s="520">
        <v>81730</v>
      </c>
      <c r="F65" s="520">
        <v>102422</v>
      </c>
      <c r="G65" s="520">
        <v>12184</v>
      </c>
      <c r="H65" s="520">
        <v>232</v>
      </c>
      <c r="I65" s="520">
        <v>779478.5</v>
      </c>
      <c r="J65" s="519">
        <v>1090617.5</v>
      </c>
      <c r="K65" s="519">
        <v>0</v>
      </c>
      <c r="L65" s="519">
        <v>0</v>
      </c>
      <c r="M65" s="519">
        <v>0</v>
      </c>
      <c r="N65" s="520">
        <v>318610.7</v>
      </c>
      <c r="O65" s="520">
        <v>168329</v>
      </c>
      <c r="P65" s="520">
        <v>50671</v>
      </c>
      <c r="Q65" s="519">
        <v>537610.69999999995</v>
      </c>
      <c r="R65" s="519">
        <v>0</v>
      </c>
      <c r="S65" s="520">
        <v>0</v>
      </c>
      <c r="T65" s="519">
        <v>0</v>
      </c>
      <c r="U65" s="519">
        <v>0</v>
      </c>
      <c r="V65" s="521">
        <v>0</v>
      </c>
      <c r="W65" s="159"/>
      <c r="X65" s="159"/>
      <c r="Y65" s="159"/>
      <c r="Z65" s="159"/>
    </row>
    <row r="66" spans="1:26" s="174" customFormat="1" ht="15.5">
      <c r="A66" s="528"/>
      <c r="B66" s="520" t="s">
        <v>577</v>
      </c>
      <c r="C66" s="520">
        <v>159015</v>
      </c>
      <c r="D66" s="520">
        <v>58309</v>
      </c>
      <c r="E66" s="520">
        <v>87960</v>
      </c>
      <c r="F66" s="520">
        <v>56775.5</v>
      </c>
      <c r="G66" s="520">
        <v>5201</v>
      </c>
      <c r="H66" s="520">
        <v>1333</v>
      </c>
      <c r="I66" s="520">
        <v>261591</v>
      </c>
      <c r="J66" s="519">
        <v>630184.5</v>
      </c>
      <c r="K66" s="519"/>
      <c r="L66" s="519"/>
      <c r="M66" s="519"/>
      <c r="N66" s="520">
        <v>0</v>
      </c>
      <c r="O66" s="520">
        <v>0</v>
      </c>
      <c r="P66" s="520">
        <v>0</v>
      </c>
      <c r="Q66" s="519">
        <v>0</v>
      </c>
      <c r="R66" s="519"/>
      <c r="S66" s="520"/>
      <c r="T66" s="519"/>
      <c r="U66" s="519"/>
      <c r="V66" s="521"/>
      <c r="W66" s="159"/>
      <c r="X66" s="159"/>
      <c r="Y66" s="159"/>
      <c r="Z66" s="159"/>
    </row>
    <row r="67" spans="1:26" s="174" customFormat="1" ht="15.5">
      <c r="A67" s="528"/>
      <c r="B67" s="520" t="s">
        <v>578</v>
      </c>
      <c r="C67" s="520">
        <v>154217</v>
      </c>
      <c r="D67" s="520">
        <v>59432</v>
      </c>
      <c r="E67" s="520">
        <v>85378.5</v>
      </c>
      <c r="F67" s="520">
        <v>58280.5</v>
      </c>
      <c r="G67" s="520">
        <v>4591</v>
      </c>
      <c r="H67" s="520">
        <v>1122</v>
      </c>
      <c r="I67" s="520">
        <v>244291</v>
      </c>
      <c r="J67" s="519">
        <v>607312</v>
      </c>
      <c r="K67" s="519"/>
      <c r="L67" s="519"/>
      <c r="M67" s="519"/>
      <c r="N67" s="520">
        <v>0</v>
      </c>
      <c r="O67" s="520">
        <v>0</v>
      </c>
      <c r="P67" s="520">
        <v>0</v>
      </c>
      <c r="Q67" s="519">
        <v>0</v>
      </c>
      <c r="R67" s="519"/>
      <c r="S67" s="520"/>
      <c r="T67" s="519"/>
      <c r="U67" s="519"/>
      <c r="V67" s="521"/>
      <c r="W67" s="159"/>
      <c r="X67" s="159"/>
      <c r="Y67" s="159"/>
      <c r="Z67" s="159"/>
    </row>
    <row r="68" spans="1:26" s="174" customFormat="1" ht="15.5">
      <c r="A68" s="528"/>
      <c r="B68" s="520" t="s">
        <v>579</v>
      </c>
      <c r="C68" s="520">
        <v>19734</v>
      </c>
      <c r="D68" s="520">
        <v>12853</v>
      </c>
      <c r="E68" s="520">
        <v>21277</v>
      </c>
      <c r="F68" s="520">
        <v>21569</v>
      </c>
      <c r="G68" s="520">
        <v>676</v>
      </c>
      <c r="H68" s="520">
        <v>0</v>
      </c>
      <c r="I68" s="520">
        <v>225203</v>
      </c>
      <c r="J68" s="519">
        <v>301312</v>
      </c>
      <c r="K68" s="519">
        <v>0</v>
      </c>
      <c r="L68" s="519">
        <v>0</v>
      </c>
      <c r="M68" s="519">
        <v>0</v>
      </c>
      <c r="N68" s="520">
        <v>0</v>
      </c>
      <c r="O68" s="520">
        <v>0</v>
      </c>
      <c r="P68" s="520">
        <v>0</v>
      </c>
      <c r="Q68" s="519">
        <v>0</v>
      </c>
      <c r="R68" s="519">
        <v>0</v>
      </c>
      <c r="S68" s="520">
        <v>0</v>
      </c>
      <c r="T68" s="519">
        <v>0</v>
      </c>
      <c r="U68" s="519">
        <v>0</v>
      </c>
      <c r="V68" s="521">
        <v>0</v>
      </c>
      <c r="W68" s="159"/>
      <c r="X68" s="159"/>
      <c r="Y68" s="159"/>
      <c r="Z68" s="159"/>
    </row>
    <row r="69" spans="1:26" s="174" customFormat="1" ht="15.5">
      <c r="A69" s="530"/>
      <c r="B69" s="520" t="s">
        <v>580</v>
      </c>
      <c r="C69" s="520">
        <v>20019</v>
      </c>
      <c r="D69" s="520">
        <v>13416</v>
      </c>
      <c r="E69" s="520">
        <v>21001.5</v>
      </c>
      <c r="F69" s="520">
        <v>23567</v>
      </c>
      <c r="G69" s="520">
        <v>624</v>
      </c>
      <c r="H69" s="520">
        <v>0</v>
      </c>
      <c r="I69" s="520">
        <v>208119</v>
      </c>
      <c r="J69" s="519">
        <v>286746.5</v>
      </c>
      <c r="K69" s="519">
        <v>0</v>
      </c>
      <c r="L69" s="519">
        <v>0</v>
      </c>
      <c r="M69" s="519">
        <v>0</v>
      </c>
      <c r="N69" s="520">
        <v>0</v>
      </c>
      <c r="O69" s="520">
        <v>0</v>
      </c>
      <c r="P69" s="520">
        <v>0</v>
      </c>
      <c r="Q69" s="519">
        <v>0</v>
      </c>
      <c r="R69" s="519">
        <v>0</v>
      </c>
      <c r="S69" s="520">
        <v>0</v>
      </c>
      <c r="T69" s="519">
        <v>0</v>
      </c>
      <c r="U69" s="519">
        <v>0</v>
      </c>
      <c r="V69" s="521">
        <v>0</v>
      </c>
      <c r="W69" s="159"/>
      <c r="X69" s="159"/>
      <c r="Y69" s="159"/>
      <c r="Z69" s="159"/>
    </row>
    <row r="70" spans="1:26" s="174" customFormat="1" ht="15.5">
      <c r="A70" s="517" t="s">
        <v>276</v>
      </c>
      <c r="B70" s="520" t="s">
        <v>573</v>
      </c>
      <c r="C70" s="517">
        <v>1409427</v>
      </c>
      <c r="D70" s="517">
        <v>151243</v>
      </c>
      <c r="E70" s="517"/>
      <c r="F70" s="517">
        <v>289144</v>
      </c>
      <c r="G70" s="517"/>
      <c r="H70" s="517"/>
      <c r="I70" s="517"/>
      <c r="J70" s="516">
        <v>1849814</v>
      </c>
      <c r="K70" s="516"/>
      <c r="L70" s="516"/>
      <c r="M70" s="516"/>
      <c r="N70" s="517">
        <v>870317</v>
      </c>
      <c r="O70" s="517">
        <v>891892</v>
      </c>
      <c r="P70" s="517">
        <v>105434</v>
      </c>
      <c r="Q70" s="516">
        <v>1867643</v>
      </c>
      <c r="R70" s="516"/>
      <c r="S70" s="517"/>
      <c r="T70" s="516"/>
      <c r="U70" s="516"/>
      <c r="V70" s="518"/>
      <c r="W70" s="159"/>
      <c r="X70" s="159"/>
      <c r="Y70" s="159"/>
      <c r="Z70" s="159"/>
    </row>
    <row r="71" spans="1:26" s="174" customFormat="1" ht="15.5">
      <c r="A71" s="528"/>
      <c r="B71" s="520" t="s">
        <v>574</v>
      </c>
      <c r="C71" s="520">
        <v>1402900</v>
      </c>
      <c r="D71" s="520">
        <v>142216</v>
      </c>
      <c r="E71" s="520"/>
      <c r="F71" s="520">
        <v>284857.7</v>
      </c>
      <c r="G71" s="520"/>
      <c r="H71" s="520"/>
      <c r="I71" s="520"/>
      <c r="J71" s="519">
        <v>1829973.7</v>
      </c>
      <c r="K71" s="519"/>
      <c r="L71" s="519"/>
      <c r="M71" s="519"/>
      <c r="N71" s="520">
        <v>359013</v>
      </c>
      <c r="O71" s="520">
        <v>338699</v>
      </c>
      <c r="P71" s="520">
        <v>43707</v>
      </c>
      <c r="Q71" s="519">
        <v>741419</v>
      </c>
      <c r="R71" s="519"/>
      <c r="S71" s="520"/>
      <c r="T71" s="519"/>
      <c r="U71" s="519"/>
      <c r="V71" s="521"/>
      <c r="W71" s="159"/>
      <c r="X71" s="159"/>
      <c r="Y71" s="159"/>
      <c r="Z71" s="159"/>
    </row>
    <row r="72" spans="1:26" s="174" customFormat="1" ht="15.5">
      <c r="A72" s="528"/>
      <c r="B72" s="520" t="s">
        <v>575</v>
      </c>
      <c r="C72" s="520">
        <v>210506</v>
      </c>
      <c r="D72" s="520">
        <v>46735</v>
      </c>
      <c r="E72" s="520">
        <v>0</v>
      </c>
      <c r="F72" s="520">
        <v>90365</v>
      </c>
      <c r="G72" s="520">
        <v>0</v>
      </c>
      <c r="H72" s="520">
        <v>0</v>
      </c>
      <c r="I72" s="520">
        <v>0</v>
      </c>
      <c r="J72" s="519">
        <v>347606</v>
      </c>
      <c r="K72" s="519">
        <v>0</v>
      </c>
      <c r="L72" s="519">
        <v>0</v>
      </c>
      <c r="M72" s="519">
        <v>0</v>
      </c>
      <c r="N72" s="520">
        <v>235303</v>
      </c>
      <c r="O72" s="520">
        <v>247189</v>
      </c>
      <c r="P72" s="520">
        <v>25806</v>
      </c>
      <c r="Q72" s="519">
        <v>508298</v>
      </c>
      <c r="R72" s="519">
        <v>0</v>
      </c>
      <c r="S72" s="520">
        <v>0</v>
      </c>
      <c r="T72" s="519">
        <v>0</v>
      </c>
      <c r="U72" s="519">
        <v>0</v>
      </c>
      <c r="V72" s="521">
        <v>0</v>
      </c>
      <c r="W72" s="159"/>
      <c r="X72" s="159"/>
      <c r="Y72" s="159"/>
      <c r="Z72" s="159"/>
    </row>
    <row r="73" spans="1:26" s="174" customFormat="1" ht="15.5">
      <c r="A73" s="528"/>
      <c r="B73" s="520" t="s">
        <v>576</v>
      </c>
      <c r="C73" s="520">
        <v>237800</v>
      </c>
      <c r="D73" s="520">
        <v>46156</v>
      </c>
      <c r="E73" s="520">
        <v>0</v>
      </c>
      <c r="F73" s="520">
        <v>102058</v>
      </c>
      <c r="G73" s="520">
        <v>0</v>
      </c>
      <c r="H73" s="520">
        <v>0</v>
      </c>
      <c r="I73" s="520">
        <v>0</v>
      </c>
      <c r="J73" s="519">
        <v>386014</v>
      </c>
      <c r="K73" s="519">
        <v>0</v>
      </c>
      <c r="L73" s="519">
        <v>0</v>
      </c>
      <c r="M73" s="519">
        <v>0</v>
      </c>
      <c r="N73" s="520">
        <v>0</v>
      </c>
      <c r="O73" s="520">
        <v>0</v>
      </c>
      <c r="P73" s="520">
        <v>0</v>
      </c>
      <c r="Q73" s="519">
        <v>0</v>
      </c>
      <c r="R73" s="519">
        <v>0</v>
      </c>
      <c r="S73" s="520">
        <v>0</v>
      </c>
      <c r="T73" s="519">
        <v>0</v>
      </c>
      <c r="U73" s="519">
        <v>0</v>
      </c>
      <c r="V73" s="521">
        <v>0</v>
      </c>
      <c r="W73" s="159"/>
      <c r="X73" s="159"/>
      <c r="Y73" s="159"/>
      <c r="Z73" s="159"/>
    </row>
    <row r="74" spans="1:26" s="174" customFormat="1" ht="15.5">
      <c r="A74" s="528"/>
      <c r="B74" s="520" t="s">
        <v>577</v>
      </c>
      <c r="C74" s="520">
        <v>173789</v>
      </c>
      <c r="D74" s="520">
        <v>29347</v>
      </c>
      <c r="E74" s="520"/>
      <c r="F74" s="520">
        <v>39930</v>
      </c>
      <c r="G74" s="520"/>
      <c r="H74" s="520"/>
      <c r="I74" s="520"/>
      <c r="J74" s="519">
        <v>243066</v>
      </c>
      <c r="K74" s="519"/>
      <c r="L74" s="519"/>
      <c r="M74" s="519"/>
      <c r="N74" s="520">
        <v>0</v>
      </c>
      <c r="O74" s="520">
        <v>0</v>
      </c>
      <c r="P74" s="520">
        <v>0</v>
      </c>
      <c r="Q74" s="519">
        <v>0</v>
      </c>
      <c r="R74" s="519"/>
      <c r="S74" s="520"/>
      <c r="T74" s="519"/>
      <c r="U74" s="519"/>
      <c r="V74" s="521"/>
      <c r="W74" s="159"/>
      <c r="X74" s="159"/>
      <c r="Y74" s="159"/>
      <c r="Z74" s="159"/>
    </row>
    <row r="75" spans="1:26" s="174" customFormat="1" ht="15.5">
      <c r="A75" s="528"/>
      <c r="B75" s="520" t="s">
        <v>578</v>
      </c>
      <c r="C75" s="520">
        <v>172433</v>
      </c>
      <c r="D75" s="520">
        <v>29693</v>
      </c>
      <c r="E75" s="520"/>
      <c r="F75" s="520">
        <v>32955</v>
      </c>
      <c r="G75" s="520"/>
      <c r="H75" s="520"/>
      <c r="I75" s="520"/>
      <c r="J75" s="519">
        <v>235081</v>
      </c>
      <c r="K75" s="519"/>
      <c r="L75" s="519"/>
      <c r="M75" s="519"/>
      <c r="N75" s="520">
        <v>0</v>
      </c>
      <c r="O75" s="520">
        <v>0</v>
      </c>
      <c r="P75" s="520">
        <v>0</v>
      </c>
      <c r="Q75" s="519">
        <v>0</v>
      </c>
      <c r="R75" s="519"/>
      <c r="S75" s="520"/>
      <c r="T75" s="519"/>
      <c r="U75" s="519"/>
      <c r="V75" s="521"/>
      <c r="W75" s="159"/>
      <c r="X75" s="159"/>
      <c r="Y75" s="159"/>
      <c r="Z75" s="159"/>
    </row>
    <row r="76" spans="1:26" s="174" customFormat="1" ht="15.5">
      <c r="A76" s="528"/>
      <c r="B76" s="520" t="s">
        <v>579</v>
      </c>
      <c r="C76" s="520">
        <v>41866</v>
      </c>
      <c r="D76" s="520">
        <v>14173</v>
      </c>
      <c r="E76" s="520">
        <v>0</v>
      </c>
      <c r="F76" s="520">
        <v>29999</v>
      </c>
      <c r="G76" s="520">
        <v>0</v>
      </c>
      <c r="H76" s="520">
        <v>0</v>
      </c>
      <c r="I76" s="520">
        <v>0</v>
      </c>
      <c r="J76" s="519">
        <v>86038</v>
      </c>
      <c r="K76" s="519">
        <v>0</v>
      </c>
      <c r="L76" s="519">
        <v>0</v>
      </c>
      <c r="M76" s="519">
        <v>0</v>
      </c>
      <c r="N76" s="520">
        <v>0</v>
      </c>
      <c r="O76" s="520">
        <v>0</v>
      </c>
      <c r="P76" s="520">
        <v>0</v>
      </c>
      <c r="Q76" s="519">
        <v>0</v>
      </c>
      <c r="R76" s="519">
        <v>0</v>
      </c>
      <c r="S76" s="520">
        <v>0</v>
      </c>
      <c r="T76" s="519">
        <v>0</v>
      </c>
      <c r="U76" s="519">
        <v>0</v>
      </c>
      <c r="V76" s="521">
        <v>0</v>
      </c>
      <c r="W76" s="159"/>
      <c r="X76" s="159"/>
      <c r="Y76" s="159"/>
      <c r="Z76" s="159"/>
    </row>
    <row r="77" spans="1:26" s="174" customFormat="1" ht="15.5">
      <c r="A77" s="530"/>
      <c r="B77" s="520" t="s">
        <v>580</v>
      </c>
      <c r="C77" s="520">
        <v>41965</v>
      </c>
      <c r="D77" s="520">
        <v>16064</v>
      </c>
      <c r="E77" s="520">
        <v>0</v>
      </c>
      <c r="F77" s="520">
        <v>24830</v>
      </c>
      <c r="G77" s="520">
        <v>0</v>
      </c>
      <c r="H77" s="520">
        <v>0</v>
      </c>
      <c r="I77" s="520">
        <v>0</v>
      </c>
      <c r="J77" s="519">
        <v>82859</v>
      </c>
      <c r="K77" s="519">
        <v>0</v>
      </c>
      <c r="L77" s="519">
        <v>0</v>
      </c>
      <c r="M77" s="519">
        <v>0</v>
      </c>
      <c r="N77" s="520">
        <v>0</v>
      </c>
      <c r="O77" s="520">
        <v>0</v>
      </c>
      <c r="P77" s="520">
        <v>0</v>
      </c>
      <c r="Q77" s="519">
        <v>0</v>
      </c>
      <c r="R77" s="519">
        <v>0</v>
      </c>
      <c r="S77" s="520">
        <v>0</v>
      </c>
      <c r="T77" s="519">
        <v>0</v>
      </c>
      <c r="U77" s="519">
        <v>0</v>
      </c>
      <c r="V77" s="521">
        <v>0</v>
      </c>
      <c r="W77" s="159"/>
      <c r="X77" s="159"/>
      <c r="Y77" s="159"/>
      <c r="Z77" s="159"/>
    </row>
    <row r="78" spans="1:26" s="174" customFormat="1" ht="15.5">
      <c r="A78" s="517" t="s">
        <v>300</v>
      </c>
      <c r="B78" s="520" t="s">
        <v>573</v>
      </c>
      <c r="C78" s="517">
        <v>2397818</v>
      </c>
      <c r="D78" s="517">
        <v>654760</v>
      </c>
      <c r="E78" s="517">
        <v>1689243</v>
      </c>
      <c r="F78" s="517">
        <v>145496</v>
      </c>
      <c r="G78" s="517">
        <v>292488</v>
      </c>
      <c r="H78" s="517">
        <v>143321</v>
      </c>
      <c r="I78" s="517">
        <v>27802</v>
      </c>
      <c r="J78" s="516">
        <v>5350928</v>
      </c>
      <c r="K78" s="516"/>
      <c r="L78" s="516"/>
      <c r="M78" s="516"/>
      <c r="N78" s="517">
        <v>2084741</v>
      </c>
      <c r="O78" s="517">
        <v>1610761</v>
      </c>
      <c r="P78" s="517">
        <v>763167.5</v>
      </c>
      <c r="Q78" s="516">
        <v>4458669.5</v>
      </c>
      <c r="R78" s="516"/>
      <c r="S78" s="517"/>
      <c r="T78" s="516"/>
      <c r="U78" s="516"/>
      <c r="V78" s="518"/>
      <c r="W78" s="159"/>
      <c r="X78" s="159"/>
      <c r="Y78" s="159"/>
      <c r="Z78" s="159"/>
    </row>
    <row r="79" spans="1:26" s="174" customFormat="1" ht="15.5">
      <c r="A79" s="528"/>
      <c r="B79" s="520" t="s">
        <v>574</v>
      </c>
      <c r="C79" s="520">
        <v>2418197</v>
      </c>
      <c r="D79" s="520">
        <v>641242</v>
      </c>
      <c r="E79" s="520">
        <v>1715562.5</v>
      </c>
      <c r="F79" s="520">
        <v>150115</v>
      </c>
      <c r="G79" s="520">
        <v>302850</v>
      </c>
      <c r="H79" s="520">
        <v>145335</v>
      </c>
      <c r="I79" s="520">
        <v>27437</v>
      </c>
      <c r="J79" s="519">
        <v>5400738.5</v>
      </c>
      <c r="K79" s="519"/>
      <c r="L79" s="519"/>
      <c r="M79" s="519"/>
      <c r="N79" s="520">
        <v>2101449.5</v>
      </c>
      <c r="O79" s="520">
        <v>1632549</v>
      </c>
      <c r="P79" s="520">
        <v>789023.5</v>
      </c>
      <c r="Q79" s="519">
        <v>4523022</v>
      </c>
      <c r="R79" s="519"/>
      <c r="S79" s="520"/>
      <c r="T79" s="519"/>
      <c r="U79" s="519"/>
      <c r="V79" s="521"/>
      <c r="W79" s="159"/>
      <c r="X79" s="159"/>
      <c r="Y79" s="159"/>
      <c r="Z79" s="159"/>
    </row>
    <row r="80" spans="1:26" s="174" customFormat="1" ht="15.5">
      <c r="A80" s="528"/>
      <c r="B80" s="520" t="s">
        <v>575</v>
      </c>
      <c r="C80" s="520">
        <v>342096</v>
      </c>
      <c r="D80" s="520">
        <v>140534</v>
      </c>
      <c r="E80" s="520">
        <v>281705</v>
      </c>
      <c r="F80" s="520">
        <v>56361</v>
      </c>
      <c r="G80" s="520">
        <v>75764</v>
      </c>
      <c r="H80" s="520">
        <v>10478</v>
      </c>
      <c r="I80" s="520">
        <v>849</v>
      </c>
      <c r="J80" s="519">
        <v>907787</v>
      </c>
      <c r="K80" s="519">
        <v>0</v>
      </c>
      <c r="L80" s="519">
        <v>0</v>
      </c>
      <c r="M80" s="519">
        <v>0</v>
      </c>
      <c r="N80" s="520">
        <v>922965</v>
      </c>
      <c r="O80" s="520">
        <v>819645</v>
      </c>
      <c r="P80" s="520">
        <v>400730</v>
      </c>
      <c r="Q80" s="519">
        <v>2143340</v>
      </c>
      <c r="R80" s="519">
        <v>0</v>
      </c>
      <c r="S80" s="520">
        <v>0</v>
      </c>
      <c r="T80" s="519">
        <v>0</v>
      </c>
      <c r="U80" s="519">
        <v>0</v>
      </c>
      <c r="V80" s="521">
        <v>0</v>
      </c>
      <c r="W80" s="159"/>
      <c r="X80" s="159"/>
      <c r="Y80" s="159"/>
      <c r="Z80" s="159"/>
    </row>
    <row r="81" spans="1:26" s="174" customFormat="1" ht="15.5">
      <c r="A81" s="528"/>
      <c r="B81" s="520" t="s">
        <v>576</v>
      </c>
      <c r="C81" s="520">
        <v>362299</v>
      </c>
      <c r="D81" s="520">
        <v>148939</v>
      </c>
      <c r="E81" s="520">
        <v>308411</v>
      </c>
      <c r="F81" s="520">
        <v>67489</v>
      </c>
      <c r="G81" s="520">
        <v>88540</v>
      </c>
      <c r="H81" s="520">
        <v>12820</v>
      </c>
      <c r="I81" s="520">
        <v>708</v>
      </c>
      <c r="J81" s="519">
        <v>989206</v>
      </c>
      <c r="K81" s="519">
        <v>0</v>
      </c>
      <c r="L81" s="519">
        <v>0</v>
      </c>
      <c r="M81" s="519">
        <v>0</v>
      </c>
      <c r="N81" s="520">
        <v>921919</v>
      </c>
      <c r="O81" s="520">
        <v>756416.5</v>
      </c>
      <c r="P81" s="520">
        <v>397983</v>
      </c>
      <c r="Q81" s="519">
        <v>2076318.5</v>
      </c>
      <c r="R81" s="519">
        <v>0</v>
      </c>
      <c r="S81" s="520">
        <v>0</v>
      </c>
      <c r="T81" s="519">
        <v>0</v>
      </c>
      <c r="U81" s="519">
        <v>0</v>
      </c>
      <c r="V81" s="521">
        <v>0</v>
      </c>
      <c r="W81" s="159"/>
      <c r="X81" s="159"/>
      <c r="Y81" s="159"/>
      <c r="Z81" s="159"/>
    </row>
    <row r="82" spans="1:26" s="174" customFormat="1" ht="15.5">
      <c r="A82" s="528"/>
      <c r="B82" s="520" t="s">
        <v>577</v>
      </c>
      <c r="C82" s="520">
        <v>524063</v>
      </c>
      <c r="D82" s="520">
        <v>90063</v>
      </c>
      <c r="E82" s="520">
        <v>163582</v>
      </c>
      <c r="F82" s="520">
        <v>14498</v>
      </c>
      <c r="G82" s="520">
        <v>26779</v>
      </c>
      <c r="H82" s="520">
        <v>882</v>
      </c>
      <c r="I82" s="520">
        <v>3726</v>
      </c>
      <c r="J82" s="519">
        <v>823593</v>
      </c>
      <c r="K82" s="519"/>
      <c r="L82" s="519"/>
      <c r="M82" s="519"/>
      <c r="N82" s="520">
        <v>0</v>
      </c>
      <c r="O82" s="520">
        <v>0</v>
      </c>
      <c r="P82" s="520">
        <v>0</v>
      </c>
      <c r="Q82" s="519">
        <v>0</v>
      </c>
      <c r="R82" s="519"/>
      <c r="S82" s="520"/>
      <c r="T82" s="519"/>
      <c r="U82" s="519"/>
      <c r="V82" s="521"/>
      <c r="W82" s="159"/>
      <c r="X82" s="159"/>
      <c r="Y82" s="159"/>
      <c r="Z82" s="159"/>
    </row>
    <row r="83" spans="1:26" s="174" customFormat="1" ht="15.5">
      <c r="A83" s="528"/>
      <c r="B83" s="520" t="s">
        <v>578</v>
      </c>
      <c r="C83" s="520">
        <v>520752.5</v>
      </c>
      <c r="D83" s="520">
        <v>87185</v>
      </c>
      <c r="E83" s="520">
        <v>173820</v>
      </c>
      <c r="F83" s="520">
        <v>14338</v>
      </c>
      <c r="G83" s="520">
        <v>33184</v>
      </c>
      <c r="H83" s="520">
        <v>1441</v>
      </c>
      <c r="I83" s="520">
        <v>3822</v>
      </c>
      <c r="J83" s="519">
        <v>834542.5</v>
      </c>
      <c r="K83" s="519"/>
      <c r="L83" s="519"/>
      <c r="M83" s="519"/>
      <c r="N83" s="520">
        <v>0</v>
      </c>
      <c r="O83" s="520">
        <v>0</v>
      </c>
      <c r="P83" s="520">
        <v>0</v>
      </c>
      <c r="Q83" s="519">
        <v>0</v>
      </c>
      <c r="R83" s="519"/>
      <c r="S83" s="520"/>
      <c r="T83" s="519"/>
      <c r="U83" s="519"/>
      <c r="V83" s="521"/>
      <c r="W83" s="159"/>
      <c r="X83" s="159"/>
      <c r="Y83" s="159"/>
      <c r="Z83" s="159"/>
    </row>
    <row r="84" spans="1:26" s="174" customFormat="1" ht="15.5">
      <c r="A84" s="528"/>
      <c r="B84" s="520" t="s">
        <v>579</v>
      </c>
      <c r="C84" s="520">
        <v>97378</v>
      </c>
      <c r="D84" s="520">
        <v>55009</v>
      </c>
      <c r="E84" s="520">
        <v>61740</v>
      </c>
      <c r="F84" s="520">
        <v>9333</v>
      </c>
      <c r="G84" s="520">
        <v>14034</v>
      </c>
      <c r="H84" s="520">
        <v>144</v>
      </c>
      <c r="I84" s="520">
        <v>0</v>
      </c>
      <c r="J84" s="519">
        <v>237638</v>
      </c>
      <c r="K84" s="519">
        <v>0</v>
      </c>
      <c r="L84" s="519">
        <v>0</v>
      </c>
      <c r="M84" s="519">
        <v>0</v>
      </c>
      <c r="N84" s="520">
        <v>0</v>
      </c>
      <c r="O84" s="520">
        <v>0</v>
      </c>
      <c r="P84" s="520">
        <v>0</v>
      </c>
      <c r="Q84" s="519">
        <v>0</v>
      </c>
      <c r="R84" s="519">
        <v>0</v>
      </c>
      <c r="S84" s="520">
        <v>0</v>
      </c>
      <c r="T84" s="519">
        <v>0</v>
      </c>
      <c r="U84" s="519">
        <v>0</v>
      </c>
      <c r="V84" s="521">
        <v>0</v>
      </c>
      <c r="W84" s="159"/>
      <c r="X84" s="159"/>
      <c r="Y84" s="159"/>
      <c r="Z84" s="159"/>
    </row>
    <row r="85" spans="1:26" s="174" customFormat="1" ht="15.5">
      <c r="A85" s="530"/>
      <c r="B85" s="520" t="s">
        <v>580</v>
      </c>
      <c r="C85" s="520">
        <v>104013.5</v>
      </c>
      <c r="D85" s="520">
        <v>54202</v>
      </c>
      <c r="E85" s="520">
        <v>72713</v>
      </c>
      <c r="F85" s="520">
        <v>9565</v>
      </c>
      <c r="G85" s="520">
        <v>20710</v>
      </c>
      <c r="H85" s="520">
        <v>829</v>
      </c>
      <c r="I85" s="520">
        <v>12</v>
      </c>
      <c r="J85" s="519">
        <v>262044.5</v>
      </c>
      <c r="K85" s="519">
        <v>0</v>
      </c>
      <c r="L85" s="519">
        <v>0</v>
      </c>
      <c r="M85" s="519">
        <v>0</v>
      </c>
      <c r="N85" s="520">
        <v>0</v>
      </c>
      <c r="O85" s="520">
        <v>0</v>
      </c>
      <c r="P85" s="520">
        <v>0</v>
      </c>
      <c r="Q85" s="519">
        <v>0</v>
      </c>
      <c r="R85" s="519">
        <v>0</v>
      </c>
      <c r="S85" s="520">
        <v>0</v>
      </c>
      <c r="T85" s="519">
        <v>0</v>
      </c>
      <c r="U85" s="519">
        <v>0</v>
      </c>
      <c r="V85" s="521">
        <v>0</v>
      </c>
      <c r="W85" s="159"/>
      <c r="X85" s="159"/>
      <c r="Y85" s="159"/>
      <c r="Z85" s="159"/>
    </row>
    <row r="86" spans="1:26" s="174" customFormat="1" ht="15.5">
      <c r="A86" s="517" t="s">
        <v>374</v>
      </c>
      <c r="B86" s="520" t="s">
        <v>573</v>
      </c>
      <c r="C86" s="517">
        <v>1208074</v>
      </c>
      <c r="D86" s="517"/>
      <c r="E86" s="517">
        <v>514843</v>
      </c>
      <c r="F86" s="517">
        <v>203228</v>
      </c>
      <c r="G86" s="517">
        <v>283331</v>
      </c>
      <c r="H86" s="517">
        <v>138432</v>
      </c>
      <c r="I86" s="517"/>
      <c r="J86" s="516">
        <v>2347908</v>
      </c>
      <c r="K86" s="516"/>
      <c r="L86" s="516"/>
      <c r="M86" s="516">
        <v>198623</v>
      </c>
      <c r="N86" s="517">
        <v>546646</v>
      </c>
      <c r="O86" s="517">
        <v>207268</v>
      </c>
      <c r="P86" s="517">
        <v>320783</v>
      </c>
      <c r="Q86" s="516">
        <v>1273320</v>
      </c>
      <c r="R86" s="516"/>
      <c r="S86" s="517"/>
      <c r="T86" s="516"/>
      <c r="U86" s="516"/>
      <c r="V86" s="518"/>
      <c r="W86" s="159"/>
      <c r="X86" s="159"/>
      <c r="Y86" s="159"/>
      <c r="Z86" s="159"/>
    </row>
    <row r="87" spans="1:26" s="174" customFormat="1" ht="15.5">
      <c r="A87" s="528"/>
      <c r="B87" s="520" t="s">
        <v>574</v>
      </c>
      <c r="C87" s="520">
        <v>1210208</v>
      </c>
      <c r="D87" s="520"/>
      <c r="E87" s="520">
        <v>503619</v>
      </c>
      <c r="F87" s="520">
        <v>197892</v>
      </c>
      <c r="G87" s="520">
        <v>276874</v>
      </c>
      <c r="H87" s="520">
        <v>137176</v>
      </c>
      <c r="I87" s="520"/>
      <c r="J87" s="519">
        <v>2325769</v>
      </c>
      <c r="K87" s="519"/>
      <c r="L87" s="519"/>
      <c r="M87" s="519">
        <v>194610</v>
      </c>
      <c r="N87" s="520">
        <v>519457</v>
      </c>
      <c r="O87" s="520">
        <v>199119</v>
      </c>
      <c r="P87" s="520">
        <v>295405</v>
      </c>
      <c r="Q87" s="519">
        <v>1208591</v>
      </c>
      <c r="R87" s="519"/>
      <c r="S87" s="520"/>
      <c r="T87" s="519"/>
      <c r="U87" s="519"/>
      <c r="V87" s="521"/>
      <c r="W87" s="159"/>
      <c r="X87" s="159"/>
      <c r="Y87" s="159"/>
      <c r="Z87" s="159"/>
    </row>
    <row r="88" spans="1:26" s="174" customFormat="1" ht="15.5">
      <c r="A88" s="528"/>
      <c r="B88" s="520" t="s">
        <v>575</v>
      </c>
      <c r="C88" s="520">
        <v>174079</v>
      </c>
      <c r="D88" s="520">
        <v>0</v>
      </c>
      <c r="E88" s="520">
        <v>132910</v>
      </c>
      <c r="F88" s="520">
        <v>66548</v>
      </c>
      <c r="G88" s="520">
        <v>72416</v>
      </c>
      <c r="H88" s="520">
        <v>35831</v>
      </c>
      <c r="I88" s="520">
        <v>0</v>
      </c>
      <c r="J88" s="519">
        <v>481784</v>
      </c>
      <c r="K88" s="519">
        <v>0</v>
      </c>
      <c r="L88" s="519">
        <v>0</v>
      </c>
      <c r="M88" s="519">
        <v>67977</v>
      </c>
      <c r="N88" s="520">
        <v>144144</v>
      </c>
      <c r="O88" s="520">
        <v>66107</v>
      </c>
      <c r="P88" s="520">
        <v>101849</v>
      </c>
      <c r="Q88" s="519">
        <v>380077</v>
      </c>
      <c r="R88" s="519">
        <v>0</v>
      </c>
      <c r="S88" s="520">
        <v>0</v>
      </c>
      <c r="T88" s="519">
        <v>0</v>
      </c>
      <c r="U88" s="519">
        <v>0</v>
      </c>
      <c r="V88" s="521">
        <v>0</v>
      </c>
      <c r="W88" s="159"/>
      <c r="X88" s="159"/>
      <c r="Y88" s="159"/>
      <c r="Z88" s="159"/>
    </row>
    <row r="89" spans="1:26" s="174" customFormat="1" ht="15.5">
      <c r="A89" s="528"/>
      <c r="B89" s="520" t="s">
        <v>576</v>
      </c>
      <c r="C89" s="520">
        <v>186122</v>
      </c>
      <c r="D89" s="520">
        <v>0</v>
      </c>
      <c r="E89" s="520">
        <v>139541</v>
      </c>
      <c r="F89" s="520">
        <v>66712</v>
      </c>
      <c r="G89" s="520">
        <v>72395</v>
      </c>
      <c r="H89" s="520">
        <v>38026</v>
      </c>
      <c r="I89" s="520">
        <v>0</v>
      </c>
      <c r="J89" s="519">
        <v>502796</v>
      </c>
      <c r="K89" s="519">
        <v>0</v>
      </c>
      <c r="L89" s="519">
        <v>0</v>
      </c>
      <c r="M89" s="519">
        <v>67675</v>
      </c>
      <c r="N89" s="520">
        <v>137066</v>
      </c>
      <c r="O89" s="520">
        <v>65683</v>
      </c>
      <c r="P89" s="520">
        <v>101383</v>
      </c>
      <c r="Q89" s="519">
        <v>371807</v>
      </c>
      <c r="R89" s="519">
        <v>0</v>
      </c>
      <c r="S89" s="520">
        <v>0</v>
      </c>
      <c r="T89" s="519">
        <v>0</v>
      </c>
      <c r="U89" s="519">
        <v>0</v>
      </c>
      <c r="V89" s="521">
        <v>0</v>
      </c>
      <c r="W89" s="159"/>
      <c r="X89" s="159"/>
      <c r="Y89" s="159"/>
      <c r="Z89" s="159"/>
    </row>
    <row r="90" spans="1:26" s="174" customFormat="1" ht="15.5">
      <c r="A90" s="528"/>
      <c r="B90" s="520" t="s">
        <v>577</v>
      </c>
      <c r="C90" s="520">
        <v>224720</v>
      </c>
      <c r="D90" s="520"/>
      <c r="E90" s="520">
        <v>44898</v>
      </c>
      <c r="F90" s="520">
        <v>37876</v>
      </c>
      <c r="G90" s="520">
        <v>24576</v>
      </c>
      <c r="H90" s="520">
        <v>459</v>
      </c>
      <c r="I90" s="520"/>
      <c r="J90" s="519">
        <v>332529</v>
      </c>
      <c r="K90" s="519"/>
      <c r="L90" s="519"/>
      <c r="M90" s="519">
        <v>0</v>
      </c>
      <c r="N90" s="520">
        <v>0</v>
      </c>
      <c r="O90" s="520">
        <v>0</v>
      </c>
      <c r="P90" s="520">
        <v>0</v>
      </c>
      <c r="Q90" s="519">
        <v>0</v>
      </c>
      <c r="R90" s="519"/>
      <c r="S90" s="520"/>
      <c r="T90" s="519"/>
      <c r="U90" s="519"/>
      <c r="V90" s="521"/>
      <c r="W90" s="159"/>
      <c r="X90" s="159"/>
      <c r="Y90" s="159"/>
      <c r="Z90" s="159"/>
    </row>
    <row r="91" spans="1:26" s="174" customFormat="1" ht="15.5">
      <c r="A91" s="528"/>
      <c r="B91" s="520" t="s">
        <v>578</v>
      </c>
      <c r="C91" s="520">
        <v>241379</v>
      </c>
      <c r="D91" s="520"/>
      <c r="E91" s="520">
        <v>45109</v>
      </c>
      <c r="F91" s="520">
        <v>40810</v>
      </c>
      <c r="G91" s="520">
        <v>23780</v>
      </c>
      <c r="H91" s="520">
        <v>402</v>
      </c>
      <c r="I91" s="520"/>
      <c r="J91" s="519">
        <v>351480</v>
      </c>
      <c r="K91" s="519"/>
      <c r="L91" s="519"/>
      <c r="M91" s="519">
        <v>0</v>
      </c>
      <c r="N91" s="520">
        <v>0</v>
      </c>
      <c r="O91" s="520">
        <v>0</v>
      </c>
      <c r="P91" s="520">
        <v>0</v>
      </c>
      <c r="Q91" s="519">
        <v>0</v>
      </c>
      <c r="R91" s="519"/>
      <c r="S91" s="520"/>
      <c r="T91" s="519"/>
      <c r="U91" s="519"/>
      <c r="V91" s="521"/>
      <c r="W91" s="159"/>
      <c r="X91" s="159"/>
      <c r="Y91" s="159"/>
      <c r="Z91" s="159"/>
    </row>
    <row r="92" spans="1:26" s="174" customFormat="1" ht="15.5">
      <c r="A92" s="528"/>
      <c r="B92" s="520" t="s">
        <v>579</v>
      </c>
      <c r="C92" s="520">
        <v>46366</v>
      </c>
      <c r="D92" s="520">
        <v>0</v>
      </c>
      <c r="E92" s="520">
        <v>10327</v>
      </c>
      <c r="F92" s="520">
        <v>27847</v>
      </c>
      <c r="G92" s="520">
        <v>14076</v>
      </c>
      <c r="H92" s="520">
        <v>24</v>
      </c>
      <c r="I92" s="520">
        <v>0</v>
      </c>
      <c r="J92" s="519">
        <v>98640</v>
      </c>
      <c r="K92" s="519">
        <v>0</v>
      </c>
      <c r="L92" s="519">
        <v>0</v>
      </c>
      <c r="M92" s="519">
        <v>0</v>
      </c>
      <c r="N92" s="520">
        <v>0</v>
      </c>
      <c r="O92" s="520">
        <v>0</v>
      </c>
      <c r="P92" s="520">
        <v>0</v>
      </c>
      <c r="Q92" s="519">
        <v>0</v>
      </c>
      <c r="R92" s="519">
        <v>0</v>
      </c>
      <c r="S92" s="520">
        <v>0</v>
      </c>
      <c r="T92" s="519">
        <v>0</v>
      </c>
      <c r="U92" s="519">
        <v>0</v>
      </c>
      <c r="V92" s="521">
        <v>0</v>
      </c>
      <c r="W92" s="159"/>
      <c r="X92" s="159"/>
      <c r="Y92" s="159"/>
      <c r="Z92" s="159"/>
    </row>
    <row r="93" spans="1:26" s="174" customFormat="1" ht="15.5">
      <c r="A93" s="530"/>
      <c r="B93" s="520" t="s">
        <v>580</v>
      </c>
      <c r="C93" s="520">
        <v>51271</v>
      </c>
      <c r="D93" s="520">
        <v>0</v>
      </c>
      <c r="E93" s="520">
        <v>11651</v>
      </c>
      <c r="F93" s="520">
        <v>31877</v>
      </c>
      <c r="G93" s="520">
        <v>12905</v>
      </c>
      <c r="H93" s="520">
        <v>24</v>
      </c>
      <c r="I93" s="520">
        <v>0</v>
      </c>
      <c r="J93" s="519">
        <v>107728</v>
      </c>
      <c r="K93" s="519">
        <v>0</v>
      </c>
      <c r="L93" s="519">
        <v>0</v>
      </c>
      <c r="M93" s="519">
        <v>0</v>
      </c>
      <c r="N93" s="520">
        <v>0</v>
      </c>
      <c r="O93" s="520">
        <v>0</v>
      </c>
      <c r="P93" s="520">
        <v>0</v>
      </c>
      <c r="Q93" s="519">
        <v>0</v>
      </c>
      <c r="R93" s="519">
        <v>0</v>
      </c>
      <c r="S93" s="520">
        <v>0</v>
      </c>
      <c r="T93" s="519">
        <v>0</v>
      </c>
      <c r="U93" s="519">
        <v>0</v>
      </c>
      <c r="V93" s="521">
        <v>0</v>
      </c>
      <c r="W93" s="159"/>
      <c r="X93" s="159"/>
      <c r="Y93" s="159"/>
      <c r="Z93" s="159"/>
    </row>
    <row r="94" spans="1:26" s="174" customFormat="1" ht="15.5">
      <c r="A94" s="517" t="s">
        <v>401</v>
      </c>
      <c r="B94" s="520" t="s">
        <v>573</v>
      </c>
      <c r="C94" s="517">
        <v>1412649</v>
      </c>
      <c r="D94" s="517"/>
      <c r="E94" s="517">
        <v>537923</v>
      </c>
      <c r="F94" s="517">
        <v>292069</v>
      </c>
      <c r="G94" s="517">
        <v>155895</v>
      </c>
      <c r="H94" s="517">
        <v>392184.5</v>
      </c>
      <c r="I94" s="517"/>
      <c r="J94" s="516">
        <v>2790720.5</v>
      </c>
      <c r="K94" s="516"/>
      <c r="L94" s="516"/>
      <c r="M94" s="516"/>
      <c r="N94" s="517">
        <v>859427</v>
      </c>
      <c r="O94" s="517">
        <v>591914</v>
      </c>
      <c r="P94" s="517">
        <v>293351</v>
      </c>
      <c r="Q94" s="516">
        <v>1744692</v>
      </c>
      <c r="R94" s="516"/>
      <c r="S94" s="517"/>
      <c r="T94" s="516"/>
      <c r="U94" s="516"/>
      <c r="V94" s="518"/>
      <c r="W94" s="159"/>
      <c r="X94" s="159"/>
      <c r="Y94" s="159"/>
      <c r="Z94" s="159"/>
    </row>
    <row r="95" spans="1:26" s="174" customFormat="1" ht="15.5">
      <c r="A95" s="528"/>
      <c r="B95" s="520" t="s">
        <v>574</v>
      </c>
      <c r="C95" s="520">
        <v>1436699</v>
      </c>
      <c r="D95" s="520"/>
      <c r="E95" s="520">
        <v>525835</v>
      </c>
      <c r="F95" s="520">
        <v>290884</v>
      </c>
      <c r="G95" s="520">
        <v>149151</v>
      </c>
      <c r="H95" s="520">
        <v>389769.5</v>
      </c>
      <c r="I95" s="520"/>
      <c r="J95" s="519">
        <v>2792338.5</v>
      </c>
      <c r="K95" s="519"/>
      <c r="L95" s="519"/>
      <c r="M95" s="519"/>
      <c r="N95" s="520">
        <v>837358</v>
      </c>
      <c r="O95" s="520">
        <v>597754</v>
      </c>
      <c r="P95" s="520">
        <v>293687</v>
      </c>
      <c r="Q95" s="519">
        <v>1728799</v>
      </c>
      <c r="R95" s="519"/>
      <c r="S95" s="520"/>
      <c r="T95" s="519"/>
      <c r="U95" s="519"/>
      <c r="V95" s="521"/>
      <c r="W95" s="159"/>
      <c r="X95" s="159"/>
      <c r="Y95" s="159"/>
      <c r="Z95" s="159"/>
    </row>
    <row r="96" spans="1:26" s="174" customFormat="1" ht="15.5">
      <c r="A96" s="528"/>
      <c r="B96" s="520" t="s">
        <v>575</v>
      </c>
      <c r="C96" s="520">
        <v>146397</v>
      </c>
      <c r="D96" s="520">
        <v>0</v>
      </c>
      <c r="E96" s="520">
        <v>42374</v>
      </c>
      <c r="F96" s="520">
        <v>50683</v>
      </c>
      <c r="G96" s="520">
        <v>12738</v>
      </c>
      <c r="H96" s="520">
        <v>82876</v>
      </c>
      <c r="I96" s="520">
        <v>0</v>
      </c>
      <c r="J96" s="519">
        <v>335068</v>
      </c>
      <c r="K96" s="519">
        <v>0</v>
      </c>
      <c r="L96" s="519">
        <v>0</v>
      </c>
      <c r="M96" s="519">
        <v>0</v>
      </c>
      <c r="N96" s="520">
        <v>314412</v>
      </c>
      <c r="O96" s="520">
        <v>201139</v>
      </c>
      <c r="P96" s="520">
        <v>73323</v>
      </c>
      <c r="Q96" s="519">
        <v>588874</v>
      </c>
      <c r="R96" s="519">
        <v>0</v>
      </c>
      <c r="S96" s="520">
        <v>0</v>
      </c>
      <c r="T96" s="519">
        <v>0</v>
      </c>
      <c r="U96" s="519">
        <v>0</v>
      </c>
      <c r="V96" s="521">
        <v>0</v>
      </c>
      <c r="W96" s="159"/>
      <c r="X96" s="159"/>
      <c r="Y96" s="159"/>
      <c r="Z96" s="159"/>
    </row>
    <row r="97" spans="1:26" s="174" customFormat="1" ht="15.5">
      <c r="A97" s="528"/>
      <c r="B97" s="520" t="s">
        <v>576</v>
      </c>
      <c r="C97" s="520">
        <v>164075</v>
      </c>
      <c r="D97" s="520">
        <v>0</v>
      </c>
      <c r="E97" s="520">
        <v>51747.5</v>
      </c>
      <c r="F97" s="520">
        <v>54084</v>
      </c>
      <c r="G97" s="520">
        <v>16204</v>
      </c>
      <c r="H97" s="520">
        <v>84529</v>
      </c>
      <c r="I97" s="520">
        <v>0</v>
      </c>
      <c r="J97" s="519">
        <v>370639.5</v>
      </c>
      <c r="K97" s="519">
        <v>0</v>
      </c>
      <c r="L97" s="519">
        <v>0</v>
      </c>
      <c r="M97" s="519">
        <v>0</v>
      </c>
      <c r="N97" s="520">
        <v>314976</v>
      </c>
      <c r="O97" s="520">
        <v>220056</v>
      </c>
      <c r="P97" s="520">
        <v>88898</v>
      </c>
      <c r="Q97" s="519">
        <v>623930</v>
      </c>
      <c r="R97" s="519">
        <v>0</v>
      </c>
      <c r="S97" s="520">
        <v>0</v>
      </c>
      <c r="T97" s="519">
        <v>0</v>
      </c>
      <c r="U97" s="519">
        <v>0</v>
      </c>
      <c r="V97" s="521">
        <v>0</v>
      </c>
      <c r="W97" s="159"/>
      <c r="X97" s="159"/>
      <c r="Y97" s="159"/>
      <c r="Z97" s="159"/>
    </row>
    <row r="98" spans="1:26" s="174" customFormat="1" ht="15.5">
      <c r="A98" s="528"/>
      <c r="B98" s="520" t="s">
        <v>577</v>
      </c>
      <c r="C98" s="520">
        <v>263420</v>
      </c>
      <c r="D98" s="520"/>
      <c r="E98" s="520">
        <v>41405.5</v>
      </c>
      <c r="F98" s="520">
        <v>13125</v>
      </c>
      <c r="G98" s="520">
        <v>16280</v>
      </c>
      <c r="H98" s="520">
        <v>4856</v>
      </c>
      <c r="I98" s="520"/>
      <c r="J98" s="519">
        <v>339086.5</v>
      </c>
      <c r="K98" s="519"/>
      <c r="L98" s="519"/>
      <c r="M98" s="519"/>
      <c r="N98" s="520">
        <v>0</v>
      </c>
      <c r="O98" s="520">
        <v>0</v>
      </c>
      <c r="P98" s="520">
        <v>0</v>
      </c>
      <c r="Q98" s="519">
        <v>0</v>
      </c>
      <c r="R98" s="519"/>
      <c r="S98" s="520"/>
      <c r="T98" s="519"/>
      <c r="U98" s="519"/>
      <c r="V98" s="521"/>
      <c r="W98" s="159"/>
      <c r="X98" s="159"/>
      <c r="Y98" s="159"/>
      <c r="Z98" s="159"/>
    </row>
    <row r="99" spans="1:26" s="174" customFormat="1" ht="15.5">
      <c r="A99" s="528"/>
      <c r="B99" s="520" t="s">
        <v>578</v>
      </c>
      <c r="C99" s="520">
        <v>272284</v>
      </c>
      <c r="D99" s="520"/>
      <c r="E99" s="520">
        <v>42467</v>
      </c>
      <c r="F99" s="520">
        <v>12890</v>
      </c>
      <c r="G99" s="520">
        <v>12696</v>
      </c>
      <c r="H99" s="520">
        <v>13161</v>
      </c>
      <c r="I99" s="520"/>
      <c r="J99" s="519">
        <v>353498</v>
      </c>
      <c r="K99" s="519"/>
      <c r="L99" s="519"/>
      <c r="M99" s="519"/>
      <c r="N99" s="520">
        <v>0</v>
      </c>
      <c r="O99" s="520">
        <v>0</v>
      </c>
      <c r="P99" s="520">
        <v>3</v>
      </c>
      <c r="Q99" s="519">
        <v>3</v>
      </c>
      <c r="R99" s="519"/>
      <c r="S99" s="520"/>
      <c r="T99" s="519"/>
      <c r="U99" s="519"/>
      <c r="V99" s="521"/>
      <c r="W99" s="159"/>
      <c r="X99" s="159"/>
      <c r="Y99" s="159"/>
      <c r="Z99" s="159"/>
    </row>
    <row r="100" spans="1:26" s="174" customFormat="1" ht="15.5">
      <c r="A100" s="528"/>
      <c r="B100" s="520" t="s">
        <v>579</v>
      </c>
      <c r="C100" s="520">
        <v>63064</v>
      </c>
      <c r="D100" s="520">
        <v>0</v>
      </c>
      <c r="E100" s="520">
        <v>13998</v>
      </c>
      <c r="F100" s="520">
        <v>7065</v>
      </c>
      <c r="G100" s="520">
        <v>3334</v>
      </c>
      <c r="H100" s="520">
        <v>3621</v>
      </c>
      <c r="I100" s="520">
        <v>0</v>
      </c>
      <c r="J100" s="519">
        <v>91082</v>
      </c>
      <c r="K100" s="519">
        <v>0</v>
      </c>
      <c r="L100" s="519">
        <v>0</v>
      </c>
      <c r="M100" s="519">
        <v>0</v>
      </c>
      <c r="N100" s="520">
        <v>0</v>
      </c>
      <c r="O100" s="520">
        <v>0</v>
      </c>
      <c r="P100" s="520">
        <v>0</v>
      </c>
      <c r="Q100" s="519">
        <v>0</v>
      </c>
      <c r="R100" s="519">
        <v>0</v>
      </c>
      <c r="S100" s="520">
        <v>0</v>
      </c>
      <c r="T100" s="519">
        <v>0</v>
      </c>
      <c r="U100" s="519">
        <v>0</v>
      </c>
      <c r="V100" s="521">
        <v>0</v>
      </c>
      <c r="W100" s="159"/>
      <c r="X100" s="159"/>
      <c r="Y100" s="159"/>
      <c r="Z100" s="159"/>
    </row>
    <row r="101" spans="1:26" s="174" customFormat="1" ht="15.5">
      <c r="A101" s="530"/>
      <c r="B101" s="520" t="s">
        <v>580</v>
      </c>
      <c r="C101" s="520">
        <v>65672</v>
      </c>
      <c r="D101" s="520">
        <v>0</v>
      </c>
      <c r="E101" s="520">
        <v>17398</v>
      </c>
      <c r="F101" s="520">
        <v>6044</v>
      </c>
      <c r="G101" s="520">
        <v>3901</v>
      </c>
      <c r="H101" s="520">
        <v>7544</v>
      </c>
      <c r="I101" s="520">
        <v>0</v>
      </c>
      <c r="J101" s="519">
        <v>100559</v>
      </c>
      <c r="K101" s="519">
        <v>0</v>
      </c>
      <c r="L101" s="519">
        <v>0</v>
      </c>
      <c r="M101" s="519">
        <v>0</v>
      </c>
      <c r="N101" s="520">
        <v>0</v>
      </c>
      <c r="O101" s="520">
        <v>0</v>
      </c>
      <c r="P101" s="520">
        <v>3</v>
      </c>
      <c r="Q101" s="519">
        <v>3</v>
      </c>
      <c r="R101" s="519">
        <v>0</v>
      </c>
      <c r="S101" s="520">
        <v>0</v>
      </c>
      <c r="T101" s="519">
        <v>0</v>
      </c>
      <c r="U101" s="519">
        <v>0</v>
      </c>
      <c r="V101" s="521">
        <v>0</v>
      </c>
      <c r="W101" s="159"/>
      <c r="X101" s="159"/>
      <c r="Y101" s="159"/>
      <c r="Z101" s="159"/>
    </row>
    <row r="102" spans="1:26" s="174" customFormat="1" ht="15.5">
      <c r="A102" s="517" t="s">
        <v>433</v>
      </c>
      <c r="B102" s="520" t="s">
        <v>573</v>
      </c>
      <c r="C102" s="517">
        <v>1035036</v>
      </c>
      <c r="D102" s="517">
        <v>971329</v>
      </c>
      <c r="E102" s="517">
        <v>779533</v>
      </c>
      <c r="F102" s="517"/>
      <c r="G102" s="517">
        <v>164329</v>
      </c>
      <c r="H102" s="517"/>
      <c r="I102" s="517"/>
      <c r="J102" s="516">
        <v>2950227</v>
      </c>
      <c r="K102" s="516"/>
      <c r="L102" s="516"/>
      <c r="M102" s="516"/>
      <c r="N102" s="517">
        <v>883513</v>
      </c>
      <c r="O102" s="517">
        <v>751064</v>
      </c>
      <c r="P102" s="517">
        <v>51313</v>
      </c>
      <c r="Q102" s="516">
        <v>1685890</v>
      </c>
      <c r="R102" s="516"/>
      <c r="S102" s="517">
        <v>0</v>
      </c>
      <c r="T102" s="516">
        <v>0</v>
      </c>
      <c r="U102" s="516"/>
      <c r="V102" s="518"/>
      <c r="W102" s="159"/>
      <c r="X102" s="159"/>
      <c r="Y102" s="159"/>
      <c r="Z102" s="159"/>
    </row>
    <row r="103" spans="1:26" s="174" customFormat="1" ht="15.5">
      <c r="A103" s="528"/>
      <c r="B103" s="520" t="s">
        <v>574</v>
      </c>
      <c r="C103" s="520">
        <v>1049594</v>
      </c>
      <c r="D103" s="520">
        <v>954899</v>
      </c>
      <c r="E103" s="520">
        <v>773036</v>
      </c>
      <c r="F103" s="520"/>
      <c r="G103" s="520">
        <v>161305</v>
      </c>
      <c r="H103" s="520"/>
      <c r="I103" s="520"/>
      <c r="J103" s="519">
        <v>2938834</v>
      </c>
      <c r="K103" s="519"/>
      <c r="L103" s="519"/>
      <c r="M103" s="519"/>
      <c r="N103" s="520">
        <v>878008</v>
      </c>
      <c r="O103" s="520">
        <v>777970</v>
      </c>
      <c r="P103" s="520">
        <v>52670</v>
      </c>
      <c r="Q103" s="519">
        <v>1708648</v>
      </c>
      <c r="R103" s="519"/>
      <c r="S103" s="520">
        <v>0</v>
      </c>
      <c r="T103" s="519">
        <v>0</v>
      </c>
      <c r="U103" s="519"/>
      <c r="V103" s="521"/>
      <c r="W103" s="159"/>
      <c r="X103" s="159"/>
      <c r="Y103" s="159"/>
      <c r="Z103" s="159"/>
    </row>
    <row r="104" spans="1:26" s="174" customFormat="1" ht="15.5">
      <c r="A104" s="528"/>
      <c r="B104" s="520" t="s">
        <v>575</v>
      </c>
      <c r="C104" s="520">
        <v>162678</v>
      </c>
      <c r="D104" s="520">
        <v>213835</v>
      </c>
      <c r="E104" s="520">
        <v>224000</v>
      </c>
      <c r="F104" s="520">
        <v>0</v>
      </c>
      <c r="G104" s="520">
        <v>29643</v>
      </c>
      <c r="H104" s="520">
        <v>0</v>
      </c>
      <c r="I104" s="520">
        <v>0</v>
      </c>
      <c r="J104" s="519">
        <v>630156</v>
      </c>
      <c r="K104" s="519">
        <v>0</v>
      </c>
      <c r="L104" s="519">
        <v>0</v>
      </c>
      <c r="M104" s="519">
        <v>0</v>
      </c>
      <c r="N104" s="520">
        <v>247639</v>
      </c>
      <c r="O104" s="520">
        <v>225465</v>
      </c>
      <c r="P104" s="520">
        <v>15711</v>
      </c>
      <c r="Q104" s="519">
        <v>488815</v>
      </c>
      <c r="R104" s="519">
        <v>0</v>
      </c>
      <c r="S104" s="520">
        <v>0</v>
      </c>
      <c r="T104" s="519">
        <v>0</v>
      </c>
      <c r="U104" s="519">
        <v>0</v>
      </c>
      <c r="V104" s="521">
        <v>0</v>
      </c>
      <c r="W104" s="159"/>
      <c r="X104" s="159"/>
      <c r="Y104" s="159"/>
      <c r="Z104" s="159"/>
    </row>
    <row r="105" spans="1:26" s="174" customFormat="1" ht="15.5">
      <c r="A105" s="528"/>
      <c r="B105" s="520" t="s">
        <v>576</v>
      </c>
      <c r="C105" s="520">
        <v>173481</v>
      </c>
      <c r="D105" s="520">
        <v>228028</v>
      </c>
      <c r="E105" s="520">
        <v>234712</v>
      </c>
      <c r="F105" s="520">
        <v>0</v>
      </c>
      <c r="G105" s="520">
        <v>28366</v>
      </c>
      <c r="H105" s="520">
        <v>0</v>
      </c>
      <c r="I105" s="520">
        <v>0</v>
      </c>
      <c r="J105" s="519">
        <v>664587</v>
      </c>
      <c r="K105" s="519">
        <v>0</v>
      </c>
      <c r="L105" s="519">
        <v>0</v>
      </c>
      <c r="M105" s="519">
        <v>0</v>
      </c>
      <c r="N105" s="520">
        <v>260482</v>
      </c>
      <c r="O105" s="520">
        <v>255037</v>
      </c>
      <c r="P105" s="520">
        <v>16790</v>
      </c>
      <c r="Q105" s="519">
        <v>532309</v>
      </c>
      <c r="R105" s="519">
        <v>0</v>
      </c>
      <c r="S105" s="520">
        <v>0</v>
      </c>
      <c r="T105" s="519">
        <v>0</v>
      </c>
      <c r="U105" s="519">
        <v>0</v>
      </c>
      <c r="V105" s="521">
        <v>0</v>
      </c>
      <c r="W105" s="159"/>
      <c r="X105" s="159"/>
      <c r="Y105" s="159"/>
      <c r="Z105" s="159"/>
    </row>
    <row r="106" spans="1:26" s="174" customFormat="1" ht="15.5">
      <c r="A106" s="528"/>
      <c r="B106" s="520" t="s">
        <v>577</v>
      </c>
      <c r="C106" s="520">
        <v>151272</v>
      </c>
      <c r="D106" s="520">
        <v>103954</v>
      </c>
      <c r="E106" s="520">
        <v>60961</v>
      </c>
      <c r="F106" s="520"/>
      <c r="G106" s="520">
        <v>5602</v>
      </c>
      <c r="H106" s="520"/>
      <c r="I106" s="520"/>
      <c r="J106" s="519">
        <v>321789</v>
      </c>
      <c r="K106" s="519"/>
      <c r="L106" s="519"/>
      <c r="M106" s="519"/>
      <c r="N106" s="520">
        <v>0</v>
      </c>
      <c r="O106" s="520">
        <v>0</v>
      </c>
      <c r="P106" s="520">
        <v>0</v>
      </c>
      <c r="Q106" s="519">
        <v>0</v>
      </c>
      <c r="R106" s="519"/>
      <c r="S106" s="520">
        <v>0</v>
      </c>
      <c r="T106" s="519">
        <v>0</v>
      </c>
      <c r="U106" s="519"/>
      <c r="V106" s="521"/>
      <c r="W106" s="159"/>
      <c r="X106" s="159"/>
      <c r="Y106" s="159"/>
      <c r="Z106" s="159"/>
    </row>
    <row r="107" spans="1:26" s="174" customFormat="1" ht="15.5">
      <c r="A107" s="528"/>
      <c r="B107" s="520" t="s">
        <v>578</v>
      </c>
      <c r="C107" s="520">
        <v>155219</v>
      </c>
      <c r="D107" s="520">
        <v>103832</v>
      </c>
      <c r="E107" s="520">
        <v>62297</v>
      </c>
      <c r="F107" s="520"/>
      <c r="G107" s="520">
        <v>6765</v>
      </c>
      <c r="H107" s="520"/>
      <c r="I107" s="520"/>
      <c r="J107" s="519">
        <v>328113</v>
      </c>
      <c r="K107" s="519"/>
      <c r="L107" s="519"/>
      <c r="M107" s="519"/>
      <c r="N107" s="520">
        <v>0</v>
      </c>
      <c r="O107" s="520">
        <v>0</v>
      </c>
      <c r="P107" s="520">
        <v>0</v>
      </c>
      <c r="Q107" s="519">
        <v>0</v>
      </c>
      <c r="R107" s="519"/>
      <c r="S107" s="520">
        <v>0</v>
      </c>
      <c r="T107" s="519">
        <v>0</v>
      </c>
      <c r="U107" s="519"/>
      <c r="V107" s="521"/>
      <c r="W107" s="159"/>
      <c r="X107" s="159"/>
      <c r="Y107" s="159"/>
      <c r="Z107" s="159"/>
    </row>
    <row r="108" spans="1:26" s="174" customFormat="1" ht="15.5">
      <c r="A108" s="528"/>
      <c r="B108" s="520" t="s">
        <v>579</v>
      </c>
      <c r="C108" s="520">
        <v>41606</v>
      </c>
      <c r="D108" s="520">
        <v>41013</v>
      </c>
      <c r="E108" s="520">
        <v>33686</v>
      </c>
      <c r="F108" s="520">
        <v>0</v>
      </c>
      <c r="G108" s="520">
        <v>4778</v>
      </c>
      <c r="H108" s="520">
        <v>0</v>
      </c>
      <c r="I108" s="520">
        <v>0</v>
      </c>
      <c r="J108" s="519">
        <v>121083</v>
      </c>
      <c r="K108" s="519">
        <v>0</v>
      </c>
      <c r="L108" s="519">
        <v>0</v>
      </c>
      <c r="M108" s="519">
        <v>0</v>
      </c>
      <c r="N108" s="520">
        <v>0</v>
      </c>
      <c r="O108" s="520">
        <v>0</v>
      </c>
      <c r="P108" s="520">
        <v>0</v>
      </c>
      <c r="Q108" s="519">
        <v>0</v>
      </c>
      <c r="R108" s="519">
        <v>0</v>
      </c>
      <c r="S108" s="520">
        <v>0</v>
      </c>
      <c r="T108" s="519">
        <v>0</v>
      </c>
      <c r="U108" s="519">
        <v>0</v>
      </c>
      <c r="V108" s="521">
        <v>0</v>
      </c>
      <c r="W108" s="159"/>
      <c r="X108" s="159"/>
      <c r="Y108" s="159"/>
      <c r="Z108" s="159"/>
    </row>
    <row r="109" spans="1:26" s="174" customFormat="1" ht="15.5">
      <c r="A109" s="530"/>
      <c r="B109" s="520" t="s">
        <v>580</v>
      </c>
      <c r="C109" s="520">
        <v>46443</v>
      </c>
      <c r="D109" s="520">
        <v>44492</v>
      </c>
      <c r="E109" s="520">
        <v>36562</v>
      </c>
      <c r="F109" s="520">
        <v>0</v>
      </c>
      <c r="G109" s="520">
        <v>6111</v>
      </c>
      <c r="H109" s="520">
        <v>0</v>
      </c>
      <c r="I109" s="520">
        <v>0</v>
      </c>
      <c r="J109" s="519">
        <v>133608</v>
      </c>
      <c r="K109" s="519">
        <v>0</v>
      </c>
      <c r="L109" s="519">
        <v>0</v>
      </c>
      <c r="M109" s="519">
        <v>0</v>
      </c>
      <c r="N109" s="520">
        <v>0</v>
      </c>
      <c r="O109" s="520">
        <v>0</v>
      </c>
      <c r="P109" s="520">
        <v>0</v>
      </c>
      <c r="Q109" s="519">
        <v>0</v>
      </c>
      <c r="R109" s="519">
        <v>0</v>
      </c>
      <c r="S109" s="520">
        <v>0</v>
      </c>
      <c r="T109" s="519">
        <v>0</v>
      </c>
      <c r="U109" s="519">
        <v>0</v>
      </c>
      <c r="V109" s="521">
        <v>0</v>
      </c>
      <c r="W109" s="159"/>
      <c r="X109" s="159"/>
      <c r="Y109" s="159"/>
      <c r="Z109" s="159"/>
    </row>
    <row r="110" spans="1:26" s="174" customFormat="1" ht="15.5">
      <c r="A110" s="517" t="s">
        <v>484</v>
      </c>
      <c r="B110" s="520" t="s">
        <v>573</v>
      </c>
      <c r="C110" s="517"/>
      <c r="D110" s="517"/>
      <c r="E110" s="517"/>
      <c r="F110" s="517"/>
      <c r="G110" s="517"/>
      <c r="H110" s="517"/>
      <c r="I110" s="517"/>
      <c r="J110" s="516"/>
      <c r="K110" s="516"/>
      <c r="L110" s="516"/>
      <c r="M110" s="516"/>
      <c r="N110" s="517"/>
      <c r="O110" s="517"/>
      <c r="P110" s="517"/>
      <c r="Q110" s="516"/>
      <c r="R110" s="516"/>
      <c r="S110" s="517"/>
      <c r="T110" s="516"/>
      <c r="U110" s="516"/>
      <c r="V110" s="518"/>
      <c r="W110" s="159"/>
      <c r="X110" s="159"/>
      <c r="Y110" s="159"/>
      <c r="Z110" s="159"/>
    </row>
    <row r="111" spans="1:26" s="174" customFormat="1" ht="15.5">
      <c r="A111" s="528"/>
      <c r="B111" s="520" t="s">
        <v>574</v>
      </c>
      <c r="C111" s="520"/>
      <c r="D111" s="520"/>
      <c r="E111" s="520"/>
      <c r="F111" s="520"/>
      <c r="G111" s="520"/>
      <c r="H111" s="520"/>
      <c r="I111" s="520"/>
      <c r="J111" s="519"/>
      <c r="K111" s="519"/>
      <c r="L111" s="519"/>
      <c r="M111" s="519"/>
      <c r="N111" s="520"/>
      <c r="O111" s="520"/>
      <c r="P111" s="520"/>
      <c r="Q111" s="519"/>
      <c r="R111" s="519"/>
      <c r="S111" s="520"/>
      <c r="T111" s="519"/>
      <c r="U111" s="519"/>
      <c r="V111" s="521"/>
      <c r="W111" s="159"/>
      <c r="X111" s="159"/>
      <c r="Y111" s="159"/>
      <c r="Z111" s="159"/>
    </row>
    <row r="112" spans="1:26" s="174" customFormat="1" ht="15.5">
      <c r="A112" s="528"/>
      <c r="B112" s="520" t="s">
        <v>575</v>
      </c>
      <c r="C112" s="520">
        <v>0</v>
      </c>
      <c r="D112" s="520">
        <v>0</v>
      </c>
      <c r="E112" s="520">
        <v>0</v>
      </c>
      <c r="F112" s="520">
        <v>0</v>
      </c>
      <c r="G112" s="520">
        <v>0</v>
      </c>
      <c r="H112" s="520">
        <v>0</v>
      </c>
      <c r="I112" s="520">
        <v>0</v>
      </c>
      <c r="J112" s="519">
        <v>0</v>
      </c>
      <c r="K112" s="519">
        <v>0</v>
      </c>
      <c r="L112" s="519">
        <v>0</v>
      </c>
      <c r="M112" s="519">
        <v>0</v>
      </c>
      <c r="N112" s="520">
        <v>0</v>
      </c>
      <c r="O112" s="520">
        <v>0</v>
      </c>
      <c r="P112" s="520">
        <v>0</v>
      </c>
      <c r="Q112" s="519">
        <v>0</v>
      </c>
      <c r="R112" s="519">
        <v>0</v>
      </c>
      <c r="S112" s="520">
        <v>0</v>
      </c>
      <c r="T112" s="519">
        <v>0</v>
      </c>
      <c r="U112" s="519">
        <v>0</v>
      </c>
      <c r="V112" s="521">
        <v>0</v>
      </c>
      <c r="W112" s="159"/>
      <c r="X112" s="159"/>
      <c r="Y112" s="159"/>
      <c r="Z112" s="159"/>
    </row>
    <row r="113" spans="1:26" s="174" customFormat="1" ht="15.5">
      <c r="A113" s="528"/>
      <c r="B113" s="520" t="s">
        <v>576</v>
      </c>
      <c r="C113" s="520">
        <v>0</v>
      </c>
      <c r="D113" s="520">
        <v>0</v>
      </c>
      <c r="E113" s="520">
        <v>0</v>
      </c>
      <c r="F113" s="520">
        <v>0</v>
      </c>
      <c r="G113" s="520">
        <v>0</v>
      </c>
      <c r="H113" s="520">
        <v>0</v>
      </c>
      <c r="I113" s="520">
        <v>0</v>
      </c>
      <c r="J113" s="519">
        <v>0</v>
      </c>
      <c r="K113" s="519">
        <v>0</v>
      </c>
      <c r="L113" s="519">
        <v>0</v>
      </c>
      <c r="M113" s="519">
        <v>0</v>
      </c>
      <c r="N113" s="520">
        <v>0</v>
      </c>
      <c r="O113" s="520">
        <v>0</v>
      </c>
      <c r="P113" s="520">
        <v>0</v>
      </c>
      <c r="Q113" s="519">
        <v>0</v>
      </c>
      <c r="R113" s="519">
        <v>0</v>
      </c>
      <c r="S113" s="520">
        <v>0</v>
      </c>
      <c r="T113" s="519">
        <v>0</v>
      </c>
      <c r="U113" s="519">
        <v>0</v>
      </c>
      <c r="V113" s="521">
        <v>0</v>
      </c>
      <c r="W113" s="159"/>
      <c r="X113" s="159"/>
      <c r="Y113" s="159"/>
      <c r="Z113" s="159"/>
    </row>
    <row r="114" spans="1:26" s="174" customFormat="1" ht="15.5">
      <c r="A114" s="528"/>
      <c r="B114" s="520" t="s">
        <v>577</v>
      </c>
      <c r="C114" s="520"/>
      <c r="D114" s="520"/>
      <c r="E114" s="520"/>
      <c r="F114" s="520"/>
      <c r="G114" s="520"/>
      <c r="H114" s="520"/>
      <c r="I114" s="520"/>
      <c r="J114" s="519"/>
      <c r="K114" s="519"/>
      <c r="L114" s="519"/>
      <c r="M114" s="519"/>
      <c r="N114" s="520"/>
      <c r="O114" s="520"/>
      <c r="P114" s="520"/>
      <c r="Q114" s="519"/>
      <c r="R114" s="519"/>
      <c r="S114" s="520"/>
      <c r="T114" s="519"/>
      <c r="U114" s="519"/>
      <c r="V114" s="521"/>
      <c r="W114" s="159"/>
      <c r="X114" s="159"/>
      <c r="Y114" s="159"/>
      <c r="Z114" s="159"/>
    </row>
    <row r="115" spans="1:26" s="174" customFormat="1" ht="15.5">
      <c r="A115" s="528"/>
      <c r="B115" s="520" t="s">
        <v>578</v>
      </c>
      <c r="C115" s="520"/>
      <c r="D115" s="520"/>
      <c r="E115" s="520"/>
      <c r="F115" s="520"/>
      <c r="G115" s="520"/>
      <c r="H115" s="520"/>
      <c r="I115" s="520"/>
      <c r="J115" s="519"/>
      <c r="K115" s="519"/>
      <c r="L115" s="519"/>
      <c r="M115" s="519"/>
      <c r="N115" s="520"/>
      <c r="O115" s="520"/>
      <c r="P115" s="520"/>
      <c r="Q115" s="519"/>
      <c r="R115" s="519"/>
      <c r="S115" s="520"/>
      <c r="T115" s="519"/>
      <c r="U115" s="519"/>
      <c r="V115" s="521"/>
      <c r="W115" s="159"/>
      <c r="X115" s="159"/>
      <c r="Y115" s="159"/>
      <c r="Z115" s="159"/>
    </row>
    <row r="116" spans="1:26" s="174" customFormat="1" ht="15.5">
      <c r="A116" s="528"/>
      <c r="B116" s="520" t="s">
        <v>579</v>
      </c>
      <c r="C116" s="520">
        <v>0</v>
      </c>
      <c r="D116" s="520">
        <v>0</v>
      </c>
      <c r="E116" s="520">
        <v>0</v>
      </c>
      <c r="F116" s="520">
        <v>0</v>
      </c>
      <c r="G116" s="520">
        <v>0</v>
      </c>
      <c r="H116" s="520">
        <v>0</v>
      </c>
      <c r="I116" s="520">
        <v>0</v>
      </c>
      <c r="J116" s="519">
        <v>0</v>
      </c>
      <c r="K116" s="519">
        <v>0</v>
      </c>
      <c r="L116" s="519">
        <v>0</v>
      </c>
      <c r="M116" s="519">
        <v>0</v>
      </c>
      <c r="N116" s="520">
        <v>0</v>
      </c>
      <c r="O116" s="520">
        <v>0</v>
      </c>
      <c r="P116" s="520">
        <v>0</v>
      </c>
      <c r="Q116" s="519">
        <v>0</v>
      </c>
      <c r="R116" s="519">
        <v>0</v>
      </c>
      <c r="S116" s="520">
        <v>0</v>
      </c>
      <c r="T116" s="519">
        <v>0</v>
      </c>
      <c r="U116" s="519">
        <v>0</v>
      </c>
      <c r="V116" s="521">
        <v>0</v>
      </c>
      <c r="W116" s="159"/>
      <c r="X116" s="159"/>
      <c r="Y116" s="159"/>
      <c r="Z116" s="159"/>
    </row>
    <row r="117" spans="1:26" s="174" customFormat="1" ht="15.5">
      <c r="A117" s="530"/>
      <c r="B117" s="520" t="s">
        <v>580</v>
      </c>
      <c r="C117" s="520">
        <v>0</v>
      </c>
      <c r="D117" s="520">
        <v>0</v>
      </c>
      <c r="E117" s="520">
        <v>0</v>
      </c>
      <c r="F117" s="520">
        <v>0</v>
      </c>
      <c r="G117" s="520">
        <v>0</v>
      </c>
      <c r="H117" s="520">
        <v>0</v>
      </c>
      <c r="I117" s="520">
        <v>0</v>
      </c>
      <c r="J117" s="519">
        <v>0</v>
      </c>
      <c r="K117" s="519">
        <v>0</v>
      </c>
      <c r="L117" s="519">
        <v>0</v>
      </c>
      <c r="M117" s="519">
        <v>0</v>
      </c>
      <c r="N117" s="520">
        <v>0</v>
      </c>
      <c r="O117" s="520">
        <v>0</v>
      </c>
      <c r="P117" s="520">
        <v>0</v>
      </c>
      <c r="Q117" s="519">
        <v>0</v>
      </c>
      <c r="R117" s="519">
        <v>0</v>
      </c>
      <c r="S117" s="520">
        <v>0</v>
      </c>
      <c r="T117" s="519">
        <v>0</v>
      </c>
      <c r="U117" s="519">
        <v>0</v>
      </c>
      <c r="V117" s="521">
        <v>0</v>
      </c>
      <c r="W117" s="159"/>
      <c r="X117" s="159"/>
      <c r="Y117" s="159"/>
      <c r="Z117" s="159"/>
    </row>
    <row r="118" spans="1:26" s="174" customFormat="1" ht="15.5">
      <c r="A118" s="517" t="s">
        <v>486</v>
      </c>
      <c r="B118" s="520" t="s">
        <v>573</v>
      </c>
      <c r="C118" s="517">
        <v>3230412</v>
      </c>
      <c r="D118" s="517">
        <v>186440.5</v>
      </c>
      <c r="E118" s="517">
        <v>1327865.7</v>
      </c>
      <c r="F118" s="517"/>
      <c r="G118" s="517">
        <v>141653</v>
      </c>
      <c r="H118" s="517">
        <v>46337</v>
      </c>
      <c r="I118" s="517"/>
      <c r="J118" s="516">
        <v>4932708.2</v>
      </c>
      <c r="K118" s="516"/>
      <c r="L118" s="516"/>
      <c r="M118" s="516"/>
      <c r="N118" s="517">
        <v>1865790</v>
      </c>
      <c r="O118" s="517">
        <v>736738</v>
      </c>
      <c r="P118" s="517">
        <v>434992</v>
      </c>
      <c r="Q118" s="516">
        <v>3037520</v>
      </c>
      <c r="R118" s="516"/>
      <c r="S118" s="517"/>
      <c r="T118" s="516"/>
      <c r="U118" s="516"/>
      <c r="V118" s="518"/>
      <c r="W118" s="159"/>
      <c r="X118" s="159"/>
      <c r="Y118" s="159"/>
      <c r="Z118" s="159"/>
    </row>
    <row r="119" spans="1:26" s="174" customFormat="1" ht="15.5">
      <c r="A119" s="528"/>
      <c r="B119" s="520" t="s">
        <v>574</v>
      </c>
      <c r="C119" s="520">
        <v>3275336</v>
      </c>
      <c r="D119" s="520">
        <v>184143.5</v>
      </c>
      <c r="E119" s="520">
        <v>1314546.8999999999</v>
      </c>
      <c r="F119" s="520"/>
      <c r="G119" s="520">
        <v>139911</v>
      </c>
      <c r="H119" s="520">
        <v>45800</v>
      </c>
      <c r="I119" s="520"/>
      <c r="J119" s="519">
        <v>4959737.4000000004</v>
      </c>
      <c r="K119" s="519"/>
      <c r="L119" s="519"/>
      <c r="M119" s="519"/>
      <c r="N119" s="520">
        <v>1819949</v>
      </c>
      <c r="O119" s="520">
        <v>718044</v>
      </c>
      <c r="P119" s="520">
        <v>429842</v>
      </c>
      <c r="Q119" s="519">
        <v>2967835</v>
      </c>
      <c r="R119" s="519"/>
      <c r="S119" s="520"/>
      <c r="T119" s="519"/>
      <c r="U119" s="519"/>
      <c r="V119" s="521"/>
      <c r="W119" s="159"/>
      <c r="X119" s="159"/>
      <c r="Y119" s="159"/>
      <c r="Z119" s="159"/>
    </row>
    <row r="120" spans="1:26" s="174" customFormat="1" ht="15.5">
      <c r="A120" s="528"/>
      <c r="B120" s="520" t="s">
        <v>575</v>
      </c>
      <c r="C120" s="520">
        <v>344472.5</v>
      </c>
      <c r="D120" s="520">
        <v>740</v>
      </c>
      <c r="E120" s="520">
        <v>125234</v>
      </c>
      <c r="F120" s="520">
        <v>0</v>
      </c>
      <c r="G120" s="520">
        <v>0</v>
      </c>
      <c r="H120" s="520">
        <v>11516</v>
      </c>
      <c r="I120" s="520">
        <v>0</v>
      </c>
      <c r="J120" s="519">
        <v>481962.5</v>
      </c>
      <c r="K120" s="519">
        <v>0</v>
      </c>
      <c r="L120" s="519">
        <v>0</v>
      </c>
      <c r="M120" s="519">
        <v>0</v>
      </c>
      <c r="N120" s="520">
        <v>539676</v>
      </c>
      <c r="O120" s="520">
        <v>242807</v>
      </c>
      <c r="P120" s="520">
        <v>167797</v>
      </c>
      <c r="Q120" s="519">
        <v>950280</v>
      </c>
      <c r="R120" s="519">
        <v>0</v>
      </c>
      <c r="S120" s="520">
        <v>0</v>
      </c>
      <c r="T120" s="519">
        <v>0</v>
      </c>
      <c r="U120" s="519">
        <v>0</v>
      </c>
      <c r="V120" s="521">
        <v>0</v>
      </c>
      <c r="W120" s="159"/>
      <c r="X120" s="159"/>
      <c r="Y120" s="159"/>
      <c r="Z120" s="159"/>
    </row>
    <row r="121" spans="1:26" s="174" customFormat="1" ht="15.5">
      <c r="A121" s="528"/>
      <c r="B121" s="520" t="s">
        <v>576</v>
      </c>
      <c r="C121" s="520">
        <v>367905</v>
      </c>
      <c r="D121" s="520">
        <v>1128</v>
      </c>
      <c r="E121" s="520">
        <v>130960.2</v>
      </c>
      <c r="F121" s="520">
        <v>0</v>
      </c>
      <c r="G121" s="520">
        <v>114</v>
      </c>
      <c r="H121" s="520">
        <v>11457</v>
      </c>
      <c r="I121" s="520">
        <v>0</v>
      </c>
      <c r="J121" s="519">
        <v>511564.2</v>
      </c>
      <c r="K121" s="519">
        <v>0</v>
      </c>
      <c r="L121" s="519">
        <v>0</v>
      </c>
      <c r="M121" s="519">
        <v>0</v>
      </c>
      <c r="N121" s="520">
        <v>517270</v>
      </c>
      <c r="O121" s="520">
        <v>254797</v>
      </c>
      <c r="P121" s="520">
        <v>171157</v>
      </c>
      <c r="Q121" s="519">
        <v>943224</v>
      </c>
      <c r="R121" s="519">
        <v>0</v>
      </c>
      <c r="S121" s="520">
        <v>0</v>
      </c>
      <c r="T121" s="519">
        <v>0</v>
      </c>
      <c r="U121" s="519">
        <v>0</v>
      </c>
      <c r="V121" s="521">
        <v>0</v>
      </c>
      <c r="W121" s="159"/>
      <c r="X121" s="159"/>
      <c r="Y121" s="159"/>
      <c r="Z121" s="159"/>
    </row>
    <row r="122" spans="1:26" s="174" customFormat="1" ht="15.5">
      <c r="A122" s="528"/>
      <c r="B122" s="520" t="s">
        <v>577</v>
      </c>
      <c r="C122" s="520">
        <v>709963</v>
      </c>
      <c r="D122" s="520">
        <v>61312.5</v>
      </c>
      <c r="E122" s="520">
        <v>90711.4</v>
      </c>
      <c r="F122" s="520"/>
      <c r="G122" s="520">
        <v>3022</v>
      </c>
      <c r="H122" s="520">
        <v>0</v>
      </c>
      <c r="I122" s="520"/>
      <c r="J122" s="519">
        <v>865008.9</v>
      </c>
      <c r="K122" s="519"/>
      <c r="L122" s="519"/>
      <c r="M122" s="519"/>
      <c r="N122" s="520">
        <v>0</v>
      </c>
      <c r="O122" s="520">
        <v>0</v>
      </c>
      <c r="P122" s="520">
        <v>0</v>
      </c>
      <c r="Q122" s="519">
        <v>0</v>
      </c>
      <c r="R122" s="519"/>
      <c r="S122" s="520"/>
      <c r="T122" s="519"/>
      <c r="U122" s="519"/>
      <c r="V122" s="521"/>
      <c r="W122" s="159"/>
      <c r="X122" s="159"/>
      <c r="Y122" s="159"/>
      <c r="Z122" s="159"/>
    </row>
    <row r="123" spans="1:26" s="174" customFormat="1" ht="15.5">
      <c r="A123" s="528"/>
      <c r="B123" s="520" t="s">
        <v>578</v>
      </c>
      <c r="C123" s="520">
        <v>714323</v>
      </c>
      <c r="D123" s="520">
        <v>59874</v>
      </c>
      <c r="E123" s="520">
        <v>97477</v>
      </c>
      <c r="F123" s="520"/>
      <c r="G123" s="520">
        <v>2591</v>
      </c>
      <c r="H123" s="520">
        <v>0</v>
      </c>
      <c r="I123" s="520"/>
      <c r="J123" s="519">
        <v>874265</v>
      </c>
      <c r="K123" s="519"/>
      <c r="L123" s="519"/>
      <c r="M123" s="519"/>
      <c r="N123" s="520">
        <v>0</v>
      </c>
      <c r="O123" s="520">
        <v>0</v>
      </c>
      <c r="P123" s="520">
        <v>0</v>
      </c>
      <c r="Q123" s="519">
        <v>0</v>
      </c>
      <c r="R123" s="519"/>
      <c r="S123" s="520"/>
      <c r="T123" s="519"/>
      <c r="U123" s="519"/>
      <c r="V123" s="521"/>
      <c r="W123" s="159"/>
      <c r="X123" s="159"/>
      <c r="Y123" s="159"/>
      <c r="Z123" s="159"/>
    </row>
    <row r="124" spans="1:26" s="174" customFormat="1" ht="15.5">
      <c r="A124" s="528"/>
      <c r="B124" s="520" t="s">
        <v>579</v>
      </c>
      <c r="C124" s="520">
        <v>109110.5</v>
      </c>
      <c r="D124" s="520">
        <v>7617</v>
      </c>
      <c r="E124" s="520">
        <v>23525</v>
      </c>
      <c r="F124" s="520">
        <v>0</v>
      </c>
      <c r="G124" s="520">
        <v>0</v>
      </c>
      <c r="H124" s="520">
        <v>0</v>
      </c>
      <c r="I124" s="520">
        <v>0</v>
      </c>
      <c r="J124" s="519">
        <v>140252.5</v>
      </c>
      <c r="K124" s="519">
        <v>0</v>
      </c>
      <c r="L124" s="519">
        <v>0</v>
      </c>
      <c r="M124" s="519">
        <v>0</v>
      </c>
      <c r="N124" s="520">
        <v>0</v>
      </c>
      <c r="O124" s="520">
        <v>0</v>
      </c>
      <c r="P124" s="520">
        <v>0</v>
      </c>
      <c r="Q124" s="519">
        <v>0</v>
      </c>
      <c r="R124" s="519">
        <v>0</v>
      </c>
      <c r="S124" s="520">
        <v>0</v>
      </c>
      <c r="T124" s="519">
        <v>0</v>
      </c>
      <c r="U124" s="519">
        <v>0</v>
      </c>
      <c r="V124" s="521">
        <v>0</v>
      </c>
      <c r="W124" s="159"/>
      <c r="X124" s="159"/>
      <c r="Y124" s="159"/>
      <c r="Z124" s="159"/>
    </row>
    <row r="125" spans="1:26" s="174" customFormat="1" ht="15.5">
      <c r="A125" s="528"/>
      <c r="B125" s="520" t="s">
        <v>580</v>
      </c>
      <c r="C125" s="520">
        <v>120563</v>
      </c>
      <c r="D125" s="520">
        <v>9473.5</v>
      </c>
      <c r="E125" s="520">
        <v>31188.6</v>
      </c>
      <c r="F125" s="520">
        <v>0</v>
      </c>
      <c r="G125" s="520">
        <v>0</v>
      </c>
      <c r="H125" s="520">
        <v>0</v>
      </c>
      <c r="I125" s="520">
        <v>0</v>
      </c>
      <c r="J125" s="519">
        <v>161225.1</v>
      </c>
      <c r="K125" s="519">
        <v>0</v>
      </c>
      <c r="L125" s="519">
        <v>0</v>
      </c>
      <c r="M125" s="519">
        <v>0</v>
      </c>
      <c r="N125" s="520">
        <v>0</v>
      </c>
      <c r="O125" s="520">
        <v>0</v>
      </c>
      <c r="P125" s="520">
        <v>0</v>
      </c>
      <c r="Q125" s="519">
        <v>0</v>
      </c>
      <c r="R125" s="519">
        <v>0</v>
      </c>
      <c r="S125" s="520">
        <v>0</v>
      </c>
      <c r="T125" s="519">
        <v>0</v>
      </c>
      <c r="U125" s="519">
        <v>0</v>
      </c>
      <c r="V125" s="521">
        <v>0</v>
      </c>
      <c r="W125" s="159"/>
      <c r="X125" s="159"/>
      <c r="Y125" s="159"/>
      <c r="Z125" s="159"/>
    </row>
    <row r="126" spans="1:26" s="174" customFormat="1" ht="15.5">
      <c r="A126" s="517" t="s">
        <v>525</v>
      </c>
      <c r="B126" s="520" t="s">
        <v>573</v>
      </c>
      <c r="C126" s="517">
        <v>625795</v>
      </c>
      <c r="D126" s="517"/>
      <c r="E126" s="517">
        <v>256593</v>
      </c>
      <c r="F126" s="517"/>
      <c r="G126" s="517">
        <v>297148</v>
      </c>
      <c r="H126" s="517">
        <v>177494</v>
      </c>
      <c r="I126" s="517">
        <v>0</v>
      </c>
      <c r="J126" s="516">
        <v>1357030</v>
      </c>
      <c r="K126" s="516">
        <v>0</v>
      </c>
      <c r="L126" s="516">
        <v>0</v>
      </c>
      <c r="M126" s="516">
        <v>87136</v>
      </c>
      <c r="N126" s="517"/>
      <c r="O126" s="517">
        <v>65524</v>
      </c>
      <c r="P126" s="517">
        <v>216937</v>
      </c>
      <c r="Q126" s="516">
        <v>369597</v>
      </c>
      <c r="R126" s="516"/>
      <c r="S126" s="517"/>
      <c r="T126" s="516"/>
      <c r="U126" s="516"/>
      <c r="V126" s="518"/>
      <c r="W126" s="159"/>
      <c r="X126" s="159"/>
      <c r="Y126" s="159"/>
      <c r="Z126" s="159"/>
    </row>
    <row r="127" spans="1:26" s="174" customFormat="1" ht="15.5">
      <c r="A127" s="528"/>
      <c r="B127" s="520" t="s">
        <v>574</v>
      </c>
      <c r="C127" s="520">
        <v>610650</v>
      </c>
      <c r="D127" s="520"/>
      <c r="E127" s="520">
        <v>246456</v>
      </c>
      <c r="F127" s="520"/>
      <c r="G127" s="520">
        <v>285476</v>
      </c>
      <c r="H127" s="520">
        <v>177726</v>
      </c>
      <c r="I127" s="520">
        <v>0</v>
      </c>
      <c r="J127" s="519">
        <v>1320308</v>
      </c>
      <c r="K127" s="519">
        <v>0</v>
      </c>
      <c r="L127" s="519">
        <v>0</v>
      </c>
      <c r="M127" s="519">
        <v>86472</v>
      </c>
      <c r="N127" s="520"/>
      <c r="O127" s="520">
        <v>65355</v>
      </c>
      <c r="P127" s="520">
        <v>212955</v>
      </c>
      <c r="Q127" s="519">
        <v>364782</v>
      </c>
      <c r="R127" s="519"/>
      <c r="S127" s="520"/>
      <c r="T127" s="519"/>
      <c r="U127" s="519"/>
      <c r="V127" s="521"/>
      <c r="W127" s="159"/>
      <c r="X127" s="159"/>
      <c r="Y127" s="159"/>
      <c r="Z127" s="159"/>
    </row>
    <row r="128" spans="1:26" s="174" customFormat="1" ht="15.5">
      <c r="A128" s="528"/>
      <c r="B128" s="520" t="s">
        <v>575</v>
      </c>
      <c r="C128" s="520">
        <v>73069</v>
      </c>
      <c r="D128" s="520">
        <v>0</v>
      </c>
      <c r="E128" s="520">
        <v>45440</v>
      </c>
      <c r="F128" s="520">
        <v>0</v>
      </c>
      <c r="G128" s="520">
        <v>49939</v>
      </c>
      <c r="H128" s="520">
        <v>49843</v>
      </c>
      <c r="I128" s="520">
        <v>0</v>
      </c>
      <c r="J128" s="519">
        <v>218291</v>
      </c>
      <c r="K128" s="519">
        <v>0</v>
      </c>
      <c r="L128" s="519">
        <v>0</v>
      </c>
      <c r="M128" s="519">
        <v>27708</v>
      </c>
      <c r="N128" s="520">
        <v>0</v>
      </c>
      <c r="O128" s="520">
        <v>15392</v>
      </c>
      <c r="P128" s="520">
        <v>71798</v>
      </c>
      <c r="Q128" s="519">
        <v>114898</v>
      </c>
      <c r="R128" s="519">
        <v>0</v>
      </c>
      <c r="S128" s="520">
        <v>0</v>
      </c>
      <c r="T128" s="519">
        <v>0</v>
      </c>
      <c r="U128" s="519">
        <v>0</v>
      </c>
      <c r="V128" s="521">
        <v>0</v>
      </c>
      <c r="W128" s="159"/>
      <c r="X128" s="159"/>
      <c r="Y128" s="159"/>
      <c r="Z128" s="159"/>
    </row>
    <row r="129" spans="1:26" s="174" customFormat="1" ht="15.5">
      <c r="A129" s="528"/>
      <c r="B129" s="520" t="s">
        <v>576</v>
      </c>
      <c r="C129" s="520">
        <v>80558</v>
      </c>
      <c r="D129" s="520">
        <v>0</v>
      </c>
      <c r="E129" s="520">
        <v>47769</v>
      </c>
      <c r="F129" s="520">
        <v>0</v>
      </c>
      <c r="G129" s="520">
        <v>54801</v>
      </c>
      <c r="H129" s="520">
        <v>51881</v>
      </c>
      <c r="I129" s="520">
        <v>0</v>
      </c>
      <c r="J129" s="519">
        <v>235009</v>
      </c>
      <c r="K129" s="519">
        <v>0</v>
      </c>
      <c r="L129" s="519">
        <v>0</v>
      </c>
      <c r="M129" s="519">
        <v>31804</v>
      </c>
      <c r="N129" s="520">
        <v>0</v>
      </c>
      <c r="O129" s="520">
        <v>14992</v>
      </c>
      <c r="P129" s="520">
        <v>74363</v>
      </c>
      <c r="Q129" s="519">
        <v>121159</v>
      </c>
      <c r="R129" s="519">
        <v>0</v>
      </c>
      <c r="S129" s="520">
        <v>0</v>
      </c>
      <c r="T129" s="519">
        <v>0</v>
      </c>
      <c r="U129" s="519">
        <v>0</v>
      </c>
      <c r="V129" s="521">
        <v>0</v>
      </c>
      <c r="W129" s="159"/>
      <c r="X129" s="159"/>
      <c r="Y129" s="159"/>
      <c r="Z129" s="159"/>
    </row>
    <row r="130" spans="1:26" s="174" customFormat="1" ht="15.5">
      <c r="A130" s="528"/>
      <c r="B130" s="520" t="s">
        <v>577</v>
      </c>
      <c r="C130" s="520">
        <v>86140</v>
      </c>
      <c r="D130" s="520"/>
      <c r="E130" s="520">
        <v>67756</v>
      </c>
      <c r="F130" s="520"/>
      <c r="G130" s="520">
        <v>22298</v>
      </c>
      <c r="H130" s="520">
        <v>2304</v>
      </c>
      <c r="I130" s="520">
        <v>0</v>
      </c>
      <c r="J130" s="519">
        <v>178498</v>
      </c>
      <c r="K130" s="519">
        <v>0</v>
      </c>
      <c r="L130" s="519">
        <v>0</v>
      </c>
      <c r="M130" s="519">
        <v>0</v>
      </c>
      <c r="N130" s="520"/>
      <c r="O130" s="520">
        <v>0</v>
      </c>
      <c r="P130" s="520">
        <v>0</v>
      </c>
      <c r="Q130" s="519">
        <v>0</v>
      </c>
      <c r="R130" s="519"/>
      <c r="S130" s="520"/>
      <c r="T130" s="519"/>
      <c r="U130" s="519"/>
      <c r="V130" s="521"/>
      <c r="W130" s="159"/>
      <c r="X130" s="159"/>
      <c r="Y130" s="159"/>
      <c r="Z130" s="159"/>
    </row>
    <row r="131" spans="1:26" s="174" customFormat="1" ht="15.5">
      <c r="A131" s="528"/>
      <c r="B131" s="520" t="s">
        <v>578</v>
      </c>
      <c r="C131" s="520">
        <v>85974</v>
      </c>
      <c r="D131" s="520"/>
      <c r="E131" s="520">
        <v>64539</v>
      </c>
      <c r="F131" s="520"/>
      <c r="G131" s="520">
        <v>23089</v>
      </c>
      <c r="H131" s="520">
        <v>2419</v>
      </c>
      <c r="I131" s="520">
        <v>0</v>
      </c>
      <c r="J131" s="519">
        <v>176021</v>
      </c>
      <c r="K131" s="519">
        <v>0</v>
      </c>
      <c r="L131" s="519">
        <v>0</v>
      </c>
      <c r="M131" s="519">
        <v>0</v>
      </c>
      <c r="N131" s="520"/>
      <c r="O131" s="520">
        <v>0</v>
      </c>
      <c r="P131" s="520">
        <v>0</v>
      </c>
      <c r="Q131" s="519">
        <v>0</v>
      </c>
      <c r="R131" s="519"/>
      <c r="S131" s="520"/>
      <c r="T131" s="519"/>
      <c r="U131" s="519"/>
      <c r="V131" s="521"/>
      <c r="W131" s="159"/>
      <c r="X131" s="159"/>
      <c r="Y131" s="159"/>
      <c r="Z131" s="159"/>
    </row>
    <row r="132" spans="1:26" s="174" customFormat="1" ht="15.5">
      <c r="A132" s="528"/>
      <c r="B132" s="520" t="s">
        <v>579</v>
      </c>
      <c r="C132" s="520">
        <v>24648</v>
      </c>
      <c r="D132" s="520">
        <v>0</v>
      </c>
      <c r="E132" s="520">
        <v>21772</v>
      </c>
      <c r="F132" s="520">
        <v>0</v>
      </c>
      <c r="G132" s="520">
        <v>11989</v>
      </c>
      <c r="H132" s="520">
        <v>666</v>
      </c>
      <c r="I132" s="520">
        <v>0</v>
      </c>
      <c r="J132" s="519">
        <v>59075</v>
      </c>
      <c r="K132" s="519">
        <v>0</v>
      </c>
      <c r="L132" s="519">
        <v>0</v>
      </c>
      <c r="M132" s="519">
        <v>0</v>
      </c>
      <c r="N132" s="520">
        <v>0</v>
      </c>
      <c r="O132" s="520">
        <v>0</v>
      </c>
      <c r="P132" s="520">
        <v>0</v>
      </c>
      <c r="Q132" s="519">
        <v>0</v>
      </c>
      <c r="R132" s="519">
        <v>0</v>
      </c>
      <c r="S132" s="520">
        <v>0</v>
      </c>
      <c r="T132" s="519">
        <v>0</v>
      </c>
      <c r="U132" s="519">
        <v>0</v>
      </c>
      <c r="V132" s="521">
        <v>0</v>
      </c>
      <c r="W132" s="159"/>
      <c r="X132" s="159"/>
      <c r="Y132" s="159"/>
      <c r="Z132" s="159"/>
    </row>
    <row r="133" spans="1:26" s="174" customFormat="1" ht="15.5">
      <c r="A133" s="531"/>
      <c r="B133" s="526" t="s">
        <v>580</v>
      </c>
      <c r="C133" s="526">
        <v>25482</v>
      </c>
      <c r="D133" s="526">
        <v>0</v>
      </c>
      <c r="E133" s="526">
        <v>21210</v>
      </c>
      <c r="F133" s="526">
        <v>0</v>
      </c>
      <c r="G133" s="526">
        <v>13227</v>
      </c>
      <c r="H133" s="526">
        <v>627</v>
      </c>
      <c r="I133" s="526">
        <v>0</v>
      </c>
      <c r="J133" s="525">
        <v>60546</v>
      </c>
      <c r="K133" s="525">
        <v>0</v>
      </c>
      <c r="L133" s="525">
        <v>0</v>
      </c>
      <c r="M133" s="525">
        <v>0</v>
      </c>
      <c r="N133" s="526">
        <v>0</v>
      </c>
      <c r="O133" s="526">
        <v>0</v>
      </c>
      <c r="P133" s="526">
        <v>0</v>
      </c>
      <c r="Q133" s="525">
        <v>0</v>
      </c>
      <c r="R133" s="525">
        <v>0</v>
      </c>
      <c r="S133" s="526">
        <v>0</v>
      </c>
      <c r="T133" s="525">
        <v>0</v>
      </c>
      <c r="U133" s="525">
        <v>0</v>
      </c>
      <c r="V133" s="527">
        <v>0</v>
      </c>
      <c r="W133" s="159"/>
      <c r="X133" s="159"/>
      <c r="Y133" s="159"/>
      <c r="Z133" s="159"/>
    </row>
    <row r="134" spans="1:26" s="174" customFormat="1">
      <c r="B134" s="185"/>
      <c r="P134" s="186"/>
      <c r="S134" s="187"/>
      <c r="T134" s="187"/>
      <c r="U134" s="187"/>
      <c r="V134" s="187"/>
    </row>
    <row r="135" spans="1:26" s="174" customFormat="1">
      <c r="S135" s="187"/>
      <c r="T135" s="187"/>
      <c r="U135" s="187"/>
      <c r="V135" s="187"/>
    </row>
    <row r="136" spans="1:26" s="174" customFormat="1">
      <c r="S136" s="187"/>
      <c r="T136" s="187"/>
      <c r="U136" s="187"/>
      <c r="V136" s="187"/>
    </row>
    <row r="137" spans="1:26" s="174" customFormat="1">
      <c r="B137" s="185"/>
      <c r="P137" s="186"/>
      <c r="S137" s="187"/>
      <c r="T137" s="187"/>
      <c r="U137" s="187"/>
      <c r="V137" s="187"/>
    </row>
    <row r="138" spans="1:26" s="174" customFormat="1">
      <c r="S138" s="187"/>
      <c r="T138" s="187"/>
      <c r="U138" s="187"/>
      <c r="V138" s="187"/>
    </row>
    <row r="139" spans="1:26" s="174" customFormat="1">
      <c r="S139" s="187"/>
      <c r="T139" s="187"/>
      <c r="U139" s="187"/>
      <c r="V139" s="187"/>
    </row>
    <row r="140" spans="1:26" s="174" customFormat="1">
      <c r="B140" s="185"/>
      <c r="P140" s="186"/>
      <c r="S140" s="187"/>
      <c r="T140" s="187"/>
      <c r="U140" s="187"/>
      <c r="V140" s="187"/>
    </row>
    <row r="141" spans="1:26" s="174" customFormat="1">
      <c r="S141" s="187"/>
      <c r="T141" s="187"/>
      <c r="U141" s="187"/>
      <c r="V141" s="187"/>
    </row>
    <row r="142" spans="1:26" s="174" customFormat="1">
      <c r="S142" s="187"/>
      <c r="T142" s="187"/>
      <c r="U142" s="187"/>
      <c r="V142" s="187"/>
    </row>
    <row r="143" spans="1:26" s="174" customFormat="1">
      <c r="B143" s="185"/>
      <c r="P143" s="186"/>
      <c r="S143" s="187"/>
      <c r="T143" s="187"/>
      <c r="U143" s="187"/>
      <c r="V143" s="187"/>
    </row>
    <row r="144" spans="1:26" s="174" customFormat="1">
      <c r="S144" s="187"/>
      <c r="T144" s="187"/>
      <c r="U144" s="187"/>
      <c r="V144" s="187"/>
    </row>
    <row r="145" spans="2:22" s="174" customFormat="1">
      <c r="S145" s="187"/>
      <c r="T145" s="187"/>
      <c r="U145" s="187"/>
      <c r="V145" s="187"/>
    </row>
    <row r="146" spans="2:22" s="174" customFormat="1">
      <c r="B146" s="185"/>
      <c r="P146" s="186"/>
      <c r="S146" s="187"/>
      <c r="T146" s="187"/>
      <c r="U146" s="187"/>
      <c r="V146" s="187"/>
    </row>
    <row r="147" spans="2:22" s="174" customFormat="1">
      <c r="S147" s="187"/>
      <c r="T147" s="187"/>
      <c r="U147" s="187"/>
      <c r="V147" s="187"/>
    </row>
    <row r="148" spans="2:22" s="174" customFormat="1">
      <c r="S148" s="187"/>
      <c r="T148" s="187"/>
      <c r="U148" s="187"/>
      <c r="V148" s="187"/>
    </row>
    <row r="149" spans="2:22" s="174" customFormat="1">
      <c r="B149" s="185"/>
      <c r="P149" s="186"/>
      <c r="S149" s="187"/>
      <c r="T149" s="187"/>
      <c r="U149" s="187"/>
      <c r="V149" s="187"/>
    </row>
    <row r="150" spans="2:22" s="174" customFormat="1">
      <c r="S150" s="187"/>
      <c r="T150" s="187"/>
      <c r="U150" s="187"/>
      <c r="V150" s="187"/>
    </row>
    <row r="151" spans="2:22" s="174" customFormat="1">
      <c r="S151" s="187"/>
      <c r="T151" s="187"/>
      <c r="U151" s="187"/>
      <c r="V151" s="187"/>
    </row>
    <row r="152" spans="2:22" s="174" customFormat="1">
      <c r="B152" s="185"/>
      <c r="P152" s="186"/>
      <c r="S152" s="187"/>
      <c r="T152" s="187"/>
      <c r="U152" s="187"/>
      <c r="V152" s="187"/>
    </row>
    <row r="153" spans="2:22" s="174" customFormat="1">
      <c r="S153" s="187"/>
      <c r="T153" s="187"/>
      <c r="U153" s="187"/>
      <c r="V153" s="187"/>
    </row>
    <row r="154" spans="2:22" s="174" customFormat="1">
      <c r="S154" s="187"/>
      <c r="T154" s="187"/>
      <c r="U154" s="187"/>
      <c r="V154" s="187"/>
    </row>
    <row r="155" spans="2:22" s="174" customFormat="1">
      <c r="B155" s="185"/>
      <c r="P155" s="186"/>
      <c r="S155" s="187"/>
      <c r="T155" s="187"/>
      <c r="U155" s="187"/>
      <c r="V155" s="187"/>
    </row>
    <row r="156" spans="2:22" s="174" customFormat="1">
      <c r="S156" s="187"/>
      <c r="T156" s="187"/>
      <c r="U156" s="187"/>
      <c r="V156" s="187"/>
    </row>
    <row r="157" spans="2:22" s="174" customFormat="1">
      <c r="S157" s="187"/>
      <c r="T157" s="187"/>
      <c r="U157" s="187"/>
      <c r="V157" s="187"/>
    </row>
    <row r="158" spans="2:22" s="174" customFormat="1">
      <c r="B158" s="185"/>
      <c r="P158" s="186"/>
      <c r="S158" s="187"/>
      <c r="T158" s="187"/>
      <c r="U158" s="187"/>
      <c r="V158" s="187"/>
    </row>
    <row r="159" spans="2:22" s="174" customFormat="1">
      <c r="S159" s="187"/>
      <c r="T159" s="187"/>
      <c r="U159" s="187"/>
      <c r="V159" s="187"/>
    </row>
    <row r="160" spans="2:22" s="174" customFormat="1">
      <c r="S160" s="187"/>
      <c r="T160" s="187"/>
      <c r="U160" s="187"/>
      <c r="V160" s="187"/>
    </row>
    <row r="161" spans="2:22" s="174" customFormat="1">
      <c r="B161" s="185"/>
      <c r="P161" s="186"/>
      <c r="S161" s="187"/>
      <c r="T161" s="187"/>
      <c r="U161" s="187"/>
      <c r="V161" s="187"/>
    </row>
    <row r="162" spans="2:22" s="174" customFormat="1">
      <c r="S162" s="187"/>
      <c r="T162" s="187"/>
      <c r="U162" s="187"/>
      <c r="V162" s="187"/>
    </row>
    <row r="163" spans="2:22" s="174" customFormat="1">
      <c r="S163" s="187"/>
      <c r="T163" s="187"/>
      <c r="U163" s="187"/>
      <c r="V163" s="187"/>
    </row>
    <row r="164" spans="2:22" s="174" customFormat="1">
      <c r="B164" s="185"/>
      <c r="P164" s="186"/>
      <c r="S164" s="187"/>
      <c r="T164" s="187"/>
      <c r="U164" s="187"/>
      <c r="V164" s="187"/>
    </row>
    <row r="165" spans="2:22" s="174" customFormat="1">
      <c r="S165" s="187"/>
      <c r="T165" s="187"/>
      <c r="U165" s="187"/>
      <c r="V165" s="187"/>
    </row>
    <row r="166" spans="2:22" s="174" customFormat="1">
      <c r="S166" s="187"/>
      <c r="T166" s="187"/>
      <c r="U166" s="187"/>
      <c r="V166" s="187"/>
    </row>
    <row r="167" spans="2:22" s="174" customFormat="1">
      <c r="B167" s="185"/>
      <c r="P167" s="186"/>
      <c r="S167" s="187"/>
      <c r="T167" s="187"/>
      <c r="U167" s="187"/>
      <c r="V167" s="187"/>
    </row>
    <row r="168" spans="2:22" s="174" customFormat="1">
      <c r="S168" s="187"/>
      <c r="T168" s="187"/>
      <c r="U168" s="187"/>
      <c r="V168" s="187"/>
    </row>
    <row r="169" spans="2:22" s="174" customFormat="1">
      <c r="S169" s="187"/>
      <c r="T169" s="187"/>
      <c r="U169" s="187"/>
      <c r="V169" s="187"/>
    </row>
    <row r="170" spans="2:22" s="174" customFormat="1">
      <c r="B170" s="185"/>
      <c r="P170" s="186"/>
      <c r="S170" s="187"/>
      <c r="T170" s="187"/>
      <c r="U170" s="187"/>
      <c r="V170" s="187"/>
    </row>
    <row r="171" spans="2:22" s="174" customFormat="1">
      <c r="S171" s="187"/>
      <c r="T171" s="187"/>
      <c r="U171" s="187"/>
      <c r="V171" s="187"/>
    </row>
    <row r="172" spans="2:22" s="174" customFormat="1">
      <c r="S172" s="187"/>
      <c r="T172" s="187"/>
      <c r="U172" s="187"/>
      <c r="V172" s="187"/>
    </row>
    <row r="173" spans="2:22" s="174" customFormat="1">
      <c r="B173" s="185"/>
      <c r="P173" s="186"/>
      <c r="S173" s="187"/>
      <c r="T173" s="187"/>
      <c r="U173" s="187"/>
      <c r="V173" s="187"/>
    </row>
    <row r="174" spans="2:22" s="174" customFormat="1">
      <c r="S174" s="187"/>
      <c r="T174" s="187"/>
      <c r="U174" s="187"/>
      <c r="V174" s="187"/>
    </row>
    <row r="175" spans="2:22" s="174" customFormat="1">
      <c r="S175" s="187"/>
      <c r="T175" s="187"/>
      <c r="U175" s="187"/>
      <c r="V175" s="187"/>
    </row>
    <row r="176" spans="2:22" s="174" customFormat="1">
      <c r="B176" s="185"/>
      <c r="P176" s="186"/>
      <c r="S176" s="187"/>
      <c r="T176" s="187"/>
      <c r="U176" s="187"/>
      <c r="V176" s="187"/>
    </row>
    <row r="177" spans="2:22" s="174" customFormat="1">
      <c r="S177" s="187"/>
      <c r="T177" s="187"/>
      <c r="U177" s="187"/>
      <c r="V177" s="187"/>
    </row>
    <row r="178" spans="2:22" s="174" customFormat="1">
      <c r="S178" s="187"/>
      <c r="T178" s="187"/>
      <c r="U178" s="187"/>
      <c r="V178" s="187"/>
    </row>
    <row r="179" spans="2:22" s="174" customFormat="1">
      <c r="B179" s="185"/>
      <c r="P179" s="186"/>
      <c r="S179" s="187"/>
      <c r="T179" s="187"/>
      <c r="U179" s="187"/>
      <c r="V179" s="187"/>
    </row>
    <row r="180" spans="2:22" s="174" customFormat="1">
      <c r="S180" s="187"/>
      <c r="T180" s="187"/>
      <c r="U180" s="187"/>
      <c r="V180" s="187"/>
    </row>
    <row r="181" spans="2:22" s="174" customFormat="1">
      <c r="S181" s="187"/>
      <c r="T181" s="187"/>
      <c r="U181" s="187"/>
      <c r="V181" s="187"/>
    </row>
    <row r="182" spans="2:22" s="174" customFormat="1">
      <c r="B182" s="185"/>
      <c r="P182" s="186"/>
      <c r="S182" s="187"/>
      <c r="T182" s="187"/>
      <c r="U182" s="187"/>
      <c r="V182" s="187"/>
    </row>
    <row r="183" spans="2:22" s="174" customFormat="1">
      <c r="S183" s="187"/>
      <c r="T183" s="187"/>
      <c r="U183" s="187"/>
      <c r="V183" s="187"/>
    </row>
    <row r="184" spans="2:22" s="174" customFormat="1">
      <c r="S184" s="187"/>
      <c r="T184" s="187"/>
      <c r="U184" s="187"/>
      <c r="V184" s="187"/>
    </row>
    <row r="185" spans="2:22" s="174" customFormat="1">
      <c r="B185" s="185"/>
      <c r="P185" s="186"/>
      <c r="S185" s="187"/>
      <c r="T185" s="187"/>
      <c r="U185" s="187"/>
      <c r="V185" s="187"/>
    </row>
    <row r="186" spans="2:22" s="174" customFormat="1">
      <c r="S186" s="187"/>
      <c r="T186" s="187"/>
      <c r="U186" s="187"/>
      <c r="V186" s="187"/>
    </row>
    <row r="187" spans="2:22" s="174" customFormat="1">
      <c r="S187" s="187"/>
      <c r="T187" s="187"/>
      <c r="U187" s="187"/>
      <c r="V187" s="187"/>
    </row>
    <row r="188" spans="2:22" s="174" customFormat="1">
      <c r="B188" s="185"/>
      <c r="P188" s="186"/>
      <c r="S188" s="187"/>
      <c r="T188" s="187"/>
      <c r="U188" s="187"/>
      <c r="V188" s="187"/>
    </row>
    <row r="189" spans="2:22" s="174" customFormat="1">
      <c r="S189" s="187"/>
      <c r="T189" s="187"/>
      <c r="U189" s="187"/>
      <c r="V189" s="187"/>
    </row>
    <row r="190" spans="2:22" s="174" customFormat="1">
      <c r="S190" s="187"/>
      <c r="T190" s="187"/>
      <c r="U190" s="187"/>
      <c r="V190" s="187"/>
    </row>
    <row r="191" spans="2:22" s="174" customFormat="1">
      <c r="B191" s="185"/>
      <c r="P191" s="186"/>
      <c r="S191" s="187"/>
      <c r="T191" s="187"/>
      <c r="U191" s="187"/>
      <c r="V191" s="187"/>
    </row>
    <row r="192" spans="2:22" s="174" customFormat="1">
      <c r="S192" s="187"/>
      <c r="T192" s="187"/>
      <c r="U192" s="187"/>
      <c r="V192" s="187"/>
    </row>
    <row r="193" spans="2:22" s="174" customFormat="1">
      <c r="S193" s="187"/>
      <c r="T193" s="187"/>
      <c r="U193" s="187"/>
      <c r="V193" s="187"/>
    </row>
    <row r="194" spans="2:22" s="174" customFormat="1">
      <c r="B194" s="185"/>
      <c r="P194" s="186"/>
      <c r="S194" s="187"/>
      <c r="T194" s="187"/>
      <c r="U194" s="187"/>
      <c r="V194" s="187"/>
    </row>
    <row r="195" spans="2:22" s="174" customFormat="1">
      <c r="S195" s="187"/>
      <c r="T195" s="187"/>
      <c r="U195" s="187"/>
      <c r="V195" s="187"/>
    </row>
    <row r="196" spans="2:22" s="174" customFormat="1">
      <c r="S196" s="187"/>
      <c r="T196" s="187"/>
      <c r="U196" s="187"/>
      <c r="V196" s="187"/>
    </row>
    <row r="197" spans="2:22" s="174" customFormat="1">
      <c r="B197" s="185"/>
      <c r="P197" s="186"/>
      <c r="S197" s="187"/>
      <c r="T197" s="187"/>
      <c r="U197" s="187"/>
      <c r="V197" s="187"/>
    </row>
    <row r="198" spans="2:22" s="174" customFormat="1">
      <c r="S198" s="187"/>
      <c r="T198" s="187"/>
      <c r="U198" s="187"/>
      <c r="V198" s="187"/>
    </row>
    <row r="199" spans="2:22" s="174" customFormat="1">
      <c r="S199" s="187"/>
      <c r="T199" s="187"/>
      <c r="U199" s="187"/>
      <c r="V199" s="187"/>
    </row>
    <row r="200" spans="2:22" s="174" customFormat="1">
      <c r="B200" s="185"/>
      <c r="P200" s="186"/>
      <c r="S200" s="187"/>
      <c r="T200" s="187"/>
      <c r="U200" s="187"/>
      <c r="V200" s="187"/>
    </row>
    <row r="201" spans="2:22" s="174" customFormat="1">
      <c r="S201" s="187"/>
      <c r="T201" s="187"/>
      <c r="U201" s="187"/>
      <c r="V201" s="187"/>
    </row>
    <row r="202" spans="2:22" s="174" customFormat="1">
      <c r="S202" s="187"/>
      <c r="T202" s="187"/>
      <c r="U202" s="187"/>
      <c r="V202" s="187"/>
    </row>
    <row r="203" spans="2:22" s="174" customFormat="1">
      <c r="B203" s="185"/>
      <c r="P203" s="186"/>
      <c r="S203" s="187"/>
      <c r="T203" s="187"/>
      <c r="U203" s="187"/>
      <c r="V203" s="187"/>
    </row>
    <row r="204" spans="2:22" s="174" customFormat="1">
      <c r="S204" s="187"/>
      <c r="T204" s="187"/>
      <c r="U204" s="187"/>
      <c r="V204" s="187"/>
    </row>
    <row r="205" spans="2:22" s="174" customFormat="1">
      <c r="S205" s="187"/>
      <c r="T205" s="187"/>
      <c r="U205" s="187"/>
      <c r="V205" s="187"/>
    </row>
    <row r="206" spans="2:22" s="174" customFormat="1">
      <c r="B206" s="185"/>
      <c r="P206" s="186"/>
      <c r="S206" s="187"/>
      <c r="T206" s="187"/>
      <c r="U206" s="187"/>
      <c r="V206" s="187"/>
    </row>
    <row r="207" spans="2:22" s="174" customFormat="1">
      <c r="S207" s="187"/>
      <c r="T207" s="187"/>
      <c r="U207" s="187"/>
      <c r="V207" s="187"/>
    </row>
    <row r="208" spans="2:22" s="174" customFormat="1">
      <c r="S208" s="187"/>
      <c r="T208" s="187"/>
      <c r="U208" s="187"/>
      <c r="V208" s="187"/>
    </row>
    <row r="209" spans="2:22" s="174" customFormat="1">
      <c r="B209" s="185"/>
      <c r="P209" s="186"/>
      <c r="S209" s="187"/>
      <c r="T209" s="187"/>
      <c r="U209" s="187"/>
      <c r="V209" s="187"/>
    </row>
    <row r="210" spans="2:22" s="174" customFormat="1">
      <c r="S210" s="187"/>
      <c r="T210" s="187"/>
      <c r="U210" s="187"/>
      <c r="V210" s="187"/>
    </row>
    <row r="211" spans="2:22" s="174" customFormat="1">
      <c r="S211" s="187"/>
      <c r="T211" s="187"/>
      <c r="U211" s="187"/>
      <c r="V211" s="187"/>
    </row>
    <row r="212" spans="2:22" s="174" customFormat="1">
      <c r="B212" s="185"/>
      <c r="P212" s="186"/>
      <c r="S212" s="187"/>
      <c r="T212" s="187"/>
      <c r="U212" s="187"/>
      <c r="V212" s="187"/>
    </row>
    <row r="213" spans="2:22" s="174" customFormat="1">
      <c r="S213" s="187"/>
      <c r="T213" s="187"/>
      <c r="U213" s="187"/>
      <c r="V213" s="187"/>
    </row>
    <row r="214" spans="2:22" s="174" customFormat="1">
      <c r="S214" s="187"/>
      <c r="T214" s="187"/>
      <c r="U214" s="187"/>
      <c r="V214" s="187"/>
    </row>
    <row r="215" spans="2:22" s="174" customFormat="1">
      <c r="B215" s="185"/>
      <c r="P215" s="186"/>
      <c r="S215" s="187"/>
      <c r="T215" s="187"/>
      <c r="U215" s="187"/>
      <c r="V215" s="187"/>
    </row>
    <row r="216" spans="2:22" s="174" customFormat="1">
      <c r="S216" s="187"/>
      <c r="T216" s="187"/>
      <c r="U216" s="187"/>
      <c r="V216" s="187"/>
    </row>
    <row r="217" spans="2:22" s="174" customFormat="1">
      <c r="S217" s="187"/>
      <c r="T217" s="187"/>
      <c r="U217" s="187"/>
      <c r="V217" s="187"/>
    </row>
    <row r="218" spans="2:22" s="174" customFormat="1">
      <c r="B218" s="185"/>
      <c r="P218" s="186"/>
      <c r="S218" s="187"/>
      <c r="T218" s="187"/>
      <c r="U218" s="187"/>
      <c r="V218" s="187"/>
    </row>
    <row r="219" spans="2:22" s="174" customFormat="1">
      <c r="S219" s="187"/>
      <c r="T219" s="187"/>
      <c r="U219" s="187"/>
      <c r="V219" s="187"/>
    </row>
    <row r="220" spans="2:22" s="174" customFormat="1">
      <c r="S220" s="187"/>
      <c r="T220" s="187"/>
      <c r="U220" s="187"/>
      <c r="V220" s="187"/>
    </row>
    <row r="221" spans="2:22" s="174" customFormat="1">
      <c r="B221" s="185"/>
      <c r="P221" s="186"/>
      <c r="S221" s="187"/>
      <c r="T221" s="187"/>
      <c r="U221" s="187"/>
      <c r="V221" s="187"/>
    </row>
    <row r="222" spans="2:22" s="174" customFormat="1">
      <c r="S222" s="187"/>
      <c r="T222" s="187"/>
      <c r="U222" s="187"/>
      <c r="V222" s="187"/>
    </row>
    <row r="223" spans="2:22" s="174" customFormat="1">
      <c r="S223" s="187"/>
      <c r="T223" s="187"/>
      <c r="U223" s="187"/>
      <c r="V223" s="187"/>
    </row>
    <row r="224" spans="2:22" s="174" customFormat="1">
      <c r="B224" s="185"/>
      <c r="P224" s="186"/>
      <c r="S224" s="187"/>
      <c r="T224" s="187"/>
      <c r="U224" s="187"/>
      <c r="V224" s="187"/>
    </row>
    <row r="225" spans="2:22" s="174" customFormat="1">
      <c r="S225" s="187"/>
      <c r="T225" s="187"/>
      <c r="U225" s="187"/>
      <c r="V225" s="187"/>
    </row>
    <row r="226" spans="2:22" s="174" customFormat="1">
      <c r="S226" s="187"/>
      <c r="T226" s="187"/>
      <c r="U226" s="187"/>
      <c r="V226" s="187"/>
    </row>
    <row r="227" spans="2:22" s="174" customFormat="1">
      <c r="B227" s="185"/>
      <c r="P227" s="186"/>
      <c r="S227" s="187"/>
      <c r="T227" s="187"/>
      <c r="U227" s="187"/>
      <c r="V227" s="187"/>
    </row>
    <row r="228" spans="2:22" s="174" customFormat="1">
      <c r="S228" s="187"/>
      <c r="T228" s="187"/>
      <c r="U228" s="187"/>
      <c r="V228" s="187"/>
    </row>
    <row r="229" spans="2:22" s="174" customFormat="1">
      <c r="S229" s="187"/>
      <c r="T229" s="187"/>
      <c r="U229" s="187"/>
      <c r="V229" s="187"/>
    </row>
    <row r="230" spans="2:22" s="174" customFormat="1">
      <c r="B230" s="185"/>
      <c r="P230" s="186"/>
      <c r="S230" s="187"/>
      <c r="T230" s="187"/>
      <c r="U230" s="187"/>
      <c r="V230" s="187"/>
    </row>
    <row r="231" spans="2:22" s="174" customFormat="1">
      <c r="S231" s="187"/>
      <c r="T231" s="187"/>
      <c r="U231" s="187"/>
      <c r="V231" s="187"/>
    </row>
    <row r="232" spans="2:22" s="174" customFormat="1">
      <c r="S232" s="187"/>
      <c r="T232" s="187"/>
      <c r="U232" s="187"/>
      <c r="V232" s="187"/>
    </row>
    <row r="233" spans="2:22" s="174" customFormat="1">
      <c r="B233" s="185"/>
      <c r="P233" s="186"/>
      <c r="S233" s="187"/>
      <c r="T233" s="187"/>
      <c r="U233" s="187"/>
      <c r="V233" s="187"/>
    </row>
    <row r="234" spans="2:22" s="174" customFormat="1">
      <c r="S234" s="187"/>
      <c r="T234" s="187"/>
      <c r="U234" s="187"/>
      <c r="V234" s="187"/>
    </row>
    <row r="235" spans="2:22" s="174" customFormat="1">
      <c r="S235" s="187"/>
      <c r="T235" s="187"/>
      <c r="U235" s="187"/>
      <c r="V235" s="187"/>
    </row>
    <row r="236" spans="2:22" s="174" customFormat="1">
      <c r="B236" s="185"/>
      <c r="P236" s="186"/>
      <c r="S236" s="187"/>
      <c r="T236" s="187"/>
      <c r="U236" s="187"/>
      <c r="V236" s="187"/>
    </row>
    <row r="237" spans="2:22" s="174" customFormat="1">
      <c r="S237" s="187"/>
      <c r="T237" s="187"/>
      <c r="U237" s="187"/>
      <c r="V237" s="187"/>
    </row>
    <row r="238" spans="2:22" s="174" customFormat="1">
      <c r="S238" s="187"/>
      <c r="T238" s="187"/>
      <c r="U238" s="187"/>
      <c r="V238" s="187"/>
    </row>
    <row r="239" spans="2:22" s="174" customFormat="1">
      <c r="B239" s="185"/>
      <c r="P239" s="186"/>
      <c r="S239" s="187"/>
      <c r="T239" s="187"/>
      <c r="U239" s="187"/>
      <c r="V239" s="187"/>
    </row>
    <row r="240" spans="2:22" s="174" customFormat="1">
      <c r="S240" s="187"/>
      <c r="T240" s="187"/>
      <c r="U240" s="187"/>
      <c r="V240" s="187"/>
    </row>
    <row r="241" spans="2:22" s="174" customFormat="1">
      <c r="S241" s="187"/>
      <c r="T241" s="187"/>
      <c r="U241" s="187"/>
      <c r="V241" s="187"/>
    </row>
    <row r="242" spans="2:22" s="174" customFormat="1">
      <c r="B242" s="185"/>
      <c r="P242" s="186"/>
      <c r="S242" s="187"/>
      <c r="T242" s="187"/>
      <c r="U242" s="187"/>
      <c r="V242" s="187"/>
    </row>
    <row r="243" spans="2:22" s="174" customFormat="1">
      <c r="S243" s="187"/>
      <c r="T243" s="187"/>
      <c r="U243" s="187"/>
      <c r="V243" s="187"/>
    </row>
    <row r="244" spans="2:22" s="174" customFormat="1">
      <c r="S244" s="187"/>
      <c r="T244" s="187"/>
      <c r="U244" s="187"/>
      <c r="V244" s="187"/>
    </row>
    <row r="245" spans="2:22" s="174" customFormat="1">
      <c r="B245" s="185"/>
      <c r="P245" s="186"/>
      <c r="S245" s="187"/>
      <c r="T245" s="187"/>
      <c r="U245" s="187"/>
      <c r="V245" s="187"/>
    </row>
    <row r="246" spans="2:22" s="174" customFormat="1">
      <c r="S246" s="187"/>
      <c r="T246" s="187"/>
      <c r="U246" s="187"/>
      <c r="V246" s="187"/>
    </row>
    <row r="247" spans="2:22" s="174" customFormat="1">
      <c r="S247" s="187"/>
      <c r="T247" s="187"/>
      <c r="U247" s="187"/>
      <c r="V247" s="187"/>
    </row>
    <row r="248" spans="2:22" s="174" customFormat="1">
      <c r="B248" s="185"/>
      <c r="P248" s="186"/>
      <c r="S248" s="187"/>
      <c r="T248" s="187"/>
      <c r="U248" s="187"/>
      <c r="V248" s="187"/>
    </row>
    <row r="249" spans="2:22" s="174" customFormat="1">
      <c r="S249" s="187"/>
      <c r="T249" s="187"/>
      <c r="U249" s="187"/>
      <c r="V249" s="187"/>
    </row>
    <row r="250" spans="2:22" s="174" customFormat="1">
      <c r="S250" s="187"/>
      <c r="T250" s="187"/>
      <c r="U250" s="187"/>
      <c r="V250" s="187"/>
    </row>
    <row r="251" spans="2:22" s="174" customFormat="1">
      <c r="B251" s="185"/>
      <c r="P251" s="186"/>
      <c r="S251" s="187"/>
      <c r="T251" s="187"/>
      <c r="U251" s="187"/>
      <c r="V251" s="187"/>
    </row>
    <row r="252" spans="2:22" s="174" customFormat="1">
      <c r="S252" s="187"/>
      <c r="T252" s="187"/>
      <c r="U252" s="187"/>
      <c r="V252" s="187"/>
    </row>
    <row r="253" spans="2:22" s="174" customFormat="1">
      <c r="S253" s="187"/>
      <c r="T253" s="187"/>
      <c r="U253" s="187"/>
      <c r="V253" s="187"/>
    </row>
    <row r="254" spans="2:22" s="174" customFormat="1">
      <c r="B254" s="185"/>
      <c r="P254" s="186"/>
      <c r="S254" s="187"/>
      <c r="T254" s="187"/>
      <c r="U254" s="187"/>
      <c r="V254" s="187"/>
    </row>
    <row r="255" spans="2:22" s="174" customFormat="1">
      <c r="S255" s="187"/>
      <c r="T255" s="187"/>
      <c r="U255" s="187"/>
      <c r="V255" s="187"/>
    </row>
    <row r="256" spans="2:22" s="174" customFormat="1">
      <c r="S256" s="187"/>
      <c r="T256" s="187"/>
      <c r="U256" s="187"/>
      <c r="V256" s="187"/>
    </row>
    <row r="257" spans="2:22" s="174" customFormat="1">
      <c r="B257" s="185"/>
      <c r="P257" s="186"/>
      <c r="S257" s="187"/>
      <c r="T257" s="187"/>
      <c r="U257" s="187"/>
      <c r="V257" s="187"/>
    </row>
    <row r="258" spans="2:22" s="174" customFormat="1">
      <c r="S258" s="187"/>
      <c r="T258" s="187"/>
      <c r="U258" s="187"/>
      <c r="V258" s="187"/>
    </row>
    <row r="259" spans="2:22" s="174" customFormat="1">
      <c r="S259" s="187"/>
      <c r="T259" s="187"/>
      <c r="U259" s="187"/>
      <c r="V259" s="187"/>
    </row>
    <row r="260" spans="2:22" s="174" customFormat="1">
      <c r="B260" s="185"/>
      <c r="P260" s="186"/>
      <c r="S260" s="187"/>
      <c r="T260" s="187"/>
      <c r="U260" s="187"/>
      <c r="V260" s="187"/>
    </row>
    <row r="261" spans="2:22" s="174" customFormat="1">
      <c r="S261" s="187"/>
      <c r="T261" s="187"/>
      <c r="U261" s="187"/>
      <c r="V261" s="187"/>
    </row>
    <row r="262" spans="2:22" s="174" customFormat="1">
      <c r="S262" s="187"/>
      <c r="T262" s="187"/>
      <c r="U262" s="187"/>
      <c r="V262" s="187"/>
    </row>
    <row r="263" spans="2:22" s="174" customFormat="1">
      <c r="B263" s="185"/>
      <c r="P263" s="186"/>
      <c r="S263" s="187"/>
      <c r="T263" s="187"/>
      <c r="U263" s="187"/>
      <c r="V263" s="187"/>
    </row>
    <row r="264" spans="2:22" s="174" customFormat="1">
      <c r="S264" s="187"/>
      <c r="T264" s="187"/>
      <c r="U264" s="187"/>
      <c r="V264" s="187"/>
    </row>
    <row r="265" spans="2:22" s="174" customFormat="1">
      <c r="S265" s="187"/>
      <c r="T265" s="187"/>
      <c r="U265" s="187"/>
      <c r="V265" s="187"/>
    </row>
    <row r="266" spans="2:22" s="174" customFormat="1">
      <c r="B266" s="185"/>
      <c r="P266" s="186"/>
      <c r="S266" s="187"/>
      <c r="T266" s="187"/>
      <c r="U266" s="187"/>
      <c r="V266" s="187"/>
    </row>
    <row r="267" spans="2:22" s="174" customFormat="1">
      <c r="S267" s="187"/>
      <c r="T267" s="187"/>
      <c r="U267" s="187"/>
      <c r="V267" s="187"/>
    </row>
    <row r="268" spans="2:22" s="174" customFormat="1">
      <c r="S268" s="187"/>
      <c r="T268" s="187"/>
      <c r="U268" s="187"/>
      <c r="V268" s="187"/>
    </row>
    <row r="269" spans="2:22" s="174" customFormat="1">
      <c r="B269" s="185"/>
      <c r="P269" s="186"/>
      <c r="S269" s="187"/>
      <c r="T269" s="187"/>
      <c r="U269" s="187"/>
      <c r="V269" s="187"/>
    </row>
    <row r="270" spans="2:22" s="174" customFormat="1">
      <c r="S270" s="187"/>
      <c r="T270" s="187"/>
      <c r="U270" s="187"/>
      <c r="V270" s="187"/>
    </row>
    <row r="271" spans="2:22" s="174" customFormat="1">
      <c r="S271" s="187"/>
      <c r="T271" s="187"/>
      <c r="U271" s="187"/>
      <c r="V271" s="187"/>
    </row>
    <row r="272" spans="2:22" s="174" customFormat="1">
      <c r="B272" s="185"/>
      <c r="P272" s="186"/>
      <c r="S272" s="187"/>
      <c r="T272" s="187"/>
      <c r="U272" s="187"/>
      <c r="V272" s="187"/>
    </row>
    <row r="273" spans="2:22" s="174" customFormat="1">
      <c r="S273" s="187"/>
      <c r="T273" s="187"/>
      <c r="U273" s="187"/>
      <c r="V273" s="187"/>
    </row>
    <row r="274" spans="2:22" s="174" customFormat="1">
      <c r="S274" s="187"/>
      <c r="T274" s="187"/>
      <c r="U274" s="187"/>
      <c r="V274" s="187"/>
    </row>
    <row r="275" spans="2:22" s="174" customFormat="1">
      <c r="B275" s="185"/>
      <c r="P275" s="186"/>
      <c r="S275" s="187"/>
      <c r="T275" s="187"/>
      <c r="U275" s="187"/>
      <c r="V275" s="187"/>
    </row>
    <row r="276" spans="2:22" s="174" customFormat="1">
      <c r="S276" s="187"/>
      <c r="T276" s="187"/>
      <c r="U276" s="187"/>
      <c r="V276" s="187"/>
    </row>
    <row r="277" spans="2:22" s="174" customFormat="1">
      <c r="S277" s="187"/>
      <c r="T277" s="187"/>
      <c r="U277" s="187"/>
      <c r="V277" s="187"/>
    </row>
    <row r="278" spans="2:22" s="174" customFormat="1">
      <c r="B278" s="185"/>
      <c r="P278" s="186"/>
      <c r="S278" s="188"/>
      <c r="T278" s="187"/>
      <c r="U278" s="187"/>
      <c r="V278" s="187"/>
    </row>
    <row r="279" spans="2:22" s="174" customFormat="1">
      <c r="S279" s="187"/>
      <c r="T279" s="187"/>
      <c r="U279" s="187"/>
      <c r="V279" s="187"/>
    </row>
    <row r="280" spans="2:22" s="174" customFormat="1">
      <c r="S280" s="187"/>
      <c r="T280" s="187"/>
      <c r="U280" s="187"/>
      <c r="V280" s="187"/>
    </row>
    <row r="281" spans="2:22" s="174" customFormat="1">
      <c r="B281" s="185"/>
      <c r="P281" s="186"/>
      <c r="S281" s="187"/>
      <c r="T281" s="187"/>
      <c r="U281" s="187"/>
      <c r="V281" s="187"/>
    </row>
    <row r="282" spans="2:22" s="174" customFormat="1">
      <c r="S282" s="187"/>
      <c r="T282" s="187"/>
      <c r="U282" s="187"/>
      <c r="V282" s="187"/>
    </row>
    <row r="283" spans="2:22" s="174" customFormat="1">
      <c r="S283" s="187"/>
      <c r="T283" s="187"/>
      <c r="U283" s="187"/>
      <c r="V283" s="187"/>
    </row>
    <row r="284" spans="2:22" s="174" customFormat="1">
      <c r="B284" s="185"/>
      <c r="P284" s="186"/>
      <c r="S284" s="187"/>
      <c r="T284" s="187"/>
      <c r="U284" s="187"/>
      <c r="V284" s="187"/>
    </row>
    <row r="285" spans="2:22" s="174" customFormat="1">
      <c r="S285" s="187"/>
      <c r="T285" s="187"/>
      <c r="U285" s="187"/>
      <c r="V285" s="187"/>
    </row>
    <row r="286" spans="2:22" s="174" customFormat="1">
      <c r="S286" s="187"/>
      <c r="T286" s="187"/>
      <c r="U286" s="187"/>
      <c r="V286" s="187"/>
    </row>
    <row r="287" spans="2:22" s="174" customFormat="1">
      <c r="B287" s="185"/>
      <c r="P287" s="186"/>
      <c r="S287" s="187"/>
      <c r="T287" s="187"/>
      <c r="U287" s="187"/>
      <c r="V287" s="187"/>
    </row>
    <row r="288" spans="2:22" s="174" customFormat="1">
      <c r="S288" s="187"/>
      <c r="T288" s="187"/>
      <c r="U288" s="187"/>
      <c r="V288" s="187"/>
    </row>
    <row r="289" spans="2:22" s="174" customFormat="1">
      <c r="S289" s="187"/>
      <c r="T289" s="187"/>
      <c r="U289" s="187"/>
      <c r="V289" s="187"/>
    </row>
    <row r="290" spans="2:22" s="174" customFormat="1">
      <c r="B290" s="185"/>
      <c r="P290" s="186"/>
      <c r="S290" s="187"/>
      <c r="T290" s="187"/>
      <c r="U290" s="187"/>
      <c r="V290" s="187"/>
    </row>
    <row r="291" spans="2:22" s="174" customFormat="1">
      <c r="S291" s="187"/>
      <c r="T291" s="187"/>
      <c r="U291" s="187"/>
      <c r="V291" s="187"/>
    </row>
    <row r="292" spans="2:22" s="174" customFormat="1">
      <c r="S292" s="187"/>
      <c r="T292" s="187"/>
      <c r="U292" s="187"/>
      <c r="V292" s="187"/>
    </row>
    <row r="293" spans="2:22" s="174" customFormat="1">
      <c r="B293" s="185"/>
      <c r="P293" s="186"/>
      <c r="S293" s="187"/>
      <c r="T293" s="187"/>
      <c r="U293" s="187"/>
      <c r="V293" s="187"/>
    </row>
    <row r="294" spans="2:22" s="174" customFormat="1">
      <c r="S294" s="187"/>
      <c r="T294" s="187"/>
      <c r="U294" s="187"/>
      <c r="V294" s="187"/>
    </row>
    <row r="295" spans="2:22" s="174" customFormat="1">
      <c r="S295" s="187"/>
      <c r="T295" s="187"/>
      <c r="U295" s="187"/>
      <c r="V295" s="187"/>
    </row>
    <row r="296" spans="2:22" s="174" customFormat="1">
      <c r="B296" s="185"/>
      <c r="P296" s="186"/>
      <c r="S296" s="188"/>
      <c r="T296" s="187"/>
      <c r="U296" s="187"/>
      <c r="V296" s="187"/>
    </row>
    <row r="297" spans="2:22" s="174" customFormat="1">
      <c r="S297" s="187"/>
      <c r="T297" s="187"/>
      <c r="U297" s="187"/>
      <c r="V297" s="187"/>
    </row>
    <row r="298" spans="2:22" s="174" customFormat="1">
      <c r="S298" s="187"/>
      <c r="T298" s="187"/>
      <c r="U298" s="187"/>
      <c r="V298" s="187"/>
    </row>
    <row r="299" spans="2:22" s="174" customFormat="1">
      <c r="B299" s="185"/>
      <c r="P299" s="186"/>
      <c r="S299" s="187"/>
      <c r="T299" s="187"/>
      <c r="U299" s="187"/>
      <c r="V299" s="187"/>
    </row>
    <row r="300" spans="2:22" s="174" customFormat="1">
      <c r="S300" s="187"/>
      <c r="T300" s="187"/>
      <c r="U300" s="187"/>
      <c r="V300" s="187"/>
    </row>
    <row r="301" spans="2:22" s="174" customFormat="1">
      <c r="S301" s="187"/>
      <c r="T301" s="187"/>
      <c r="U301" s="187"/>
      <c r="V301" s="187"/>
    </row>
    <row r="302" spans="2:22" s="174" customFormat="1">
      <c r="B302" s="185"/>
      <c r="P302" s="186"/>
      <c r="S302" s="187"/>
      <c r="T302" s="187"/>
      <c r="U302" s="187"/>
      <c r="V302" s="187"/>
    </row>
    <row r="303" spans="2:22" s="174" customFormat="1">
      <c r="S303" s="187"/>
      <c r="T303" s="187"/>
      <c r="U303" s="187"/>
      <c r="V303" s="187"/>
    </row>
    <row r="304" spans="2:22" s="174" customFormat="1">
      <c r="S304" s="187"/>
      <c r="T304" s="187"/>
      <c r="U304" s="187"/>
      <c r="V304" s="187"/>
    </row>
    <row r="305" spans="2:22" s="174" customFormat="1">
      <c r="B305" s="185"/>
      <c r="P305" s="186"/>
      <c r="S305" s="187"/>
      <c r="T305" s="187"/>
      <c r="U305" s="187"/>
      <c r="V305" s="187"/>
    </row>
    <row r="306" spans="2:22" s="174" customFormat="1">
      <c r="S306" s="187"/>
      <c r="T306" s="187"/>
      <c r="U306" s="187"/>
      <c r="V306" s="187"/>
    </row>
    <row r="307" spans="2:22" s="174" customFormat="1">
      <c r="S307" s="187"/>
      <c r="T307" s="187"/>
      <c r="U307" s="187"/>
      <c r="V307" s="187"/>
    </row>
    <row r="308" spans="2:22" s="174" customFormat="1">
      <c r="B308" s="185"/>
      <c r="P308" s="186"/>
      <c r="S308" s="187"/>
      <c r="T308" s="187"/>
      <c r="U308" s="187"/>
      <c r="V308" s="187"/>
    </row>
    <row r="309" spans="2:22" s="174" customFormat="1">
      <c r="S309" s="187"/>
      <c r="T309" s="187"/>
      <c r="U309" s="187"/>
      <c r="V309" s="187"/>
    </row>
    <row r="310" spans="2:22" s="174" customFormat="1">
      <c r="S310" s="187"/>
      <c r="T310" s="187"/>
      <c r="U310" s="187"/>
      <c r="V310" s="187"/>
    </row>
    <row r="311" spans="2:22" s="174" customFormat="1">
      <c r="B311" s="185"/>
      <c r="P311" s="186"/>
      <c r="S311" s="187"/>
      <c r="T311" s="187"/>
      <c r="U311" s="187"/>
      <c r="V311" s="187"/>
    </row>
    <row r="312" spans="2:22" s="174" customFormat="1">
      <c r="S312" s="187"/>
      <c r="T312" s="187"/>
      <c r="U312" s="187"/>
      <c r="V312" s="187"/>
    </row>
    <row r="313" spans="2:22" s="174" customFormat="1">
      <c r="S313" s="187"/>
      <c r="T313" s="187"/>
      <c r="U313" s="187"/>
      <c r="V313" s="187"/>
    </row>
    <row r="314" spans="2:22" s="174" customFormat="1">
      <c r="B314" s="185"/>
      <c r="P314" s="186"/>
      <c r="S314" s="187"/>
      <c r="T314" s="187"/>
      <c r="U314" s="187"/>
      <c r="V314" s="187"/>
    </row>
    <row r="315" spans="2:22" s="174" customFormat="1">
      <c r="S315" s="187"/>
      <c r="T315" s="187"/>
      <c r="U315" s="187"/>
      <c r="V315" s="187"/>
    </row>
    <row r="316" spans="2:22" s="174" customFormat="1">
      <c r="S316" s="187"/>
      <c r="T316" s="187"/>
      <c r="U316" s="187"/>
      <c r="V316" s="187"/>
    </row>
    <row r="317" spans="2:22" s="174" customFormat="1">
      <c r="B317" s="185"/>
      <c r="P317" s="186"/>
      <c r="S317" s="187"/>
      <c r="T317" s="187"/>
      <c r="U317" s="187"/>
      <c r="V317" s="187"/>
    </row>
    <row r="318" spans="2:22" s="174" customFormat="1">
      <c r="S318" s="187"/>
      <c r="T318" s="187"/>
      <c r="U318" s="187"/>
      <c r="V318" s="187"/>
    </row>
    <row r="319" spans="2:22" s="174" customFormat="1">
      <c r="S319" s="187"/>
      <c r="T319" s="187"/>
      <c r="U319" s="187"/>
      <c r="V319" s="187"/>
    </row>
    <row r="320" spans="2:22" s="174" customFormat="1">
      <c r="B320" s="185"/>
      <c r="P320" s="186"/>
      <c r="S320" s="187"/>
      <c r="T320" s="187"/>
      <c r="U320" s="187"/>
      <c r="V320" s="187"/>
    </row>
    <row r="321" spans="2:22" s="174" customFormat="1">
      <c r="S321" s="187"/>
      <c r="T321" s="187"/>
      <c r="U321" s="187"/>
      <c r="V321" s="187"/>
    </row>
    <row r="322" spans="2:22" s="174" customFormat="1">
      <c r="S322" s="187"/>
      <c r="T322" s="187"/>
      <c r="U322" s="187"/>
      <c r="V322" s="187"/>
    </row>
    <row r="323" spans="2:22" s="174" customFormat="1">
      <c r="B323" s="185"/>
      <c r="P323" s="186"/>
      <c r="S323" s="187"/>
      <c r="T323" s="187"/>
      <c r="U323" s="187"/>
      <c r="V323" s="187"/>
    </row>
    <row r="324" spans="2:22" s="174" customFormat="1">
      <c r="S324" s="187"/>
      <c r="T324" s="187"/>
      <c r="U324" s="187"/>
      <c r="V324" s="187"/>
    </row>
    <row r="325" spans="2:22" s="174" customFormat="1">
      <c r="S325" s="187"/>
      <c r="T325" s="187"/>
      <c r="U325" s="187"/>
      <c r="V325" s="187"/>
    </row>
    <row r="326" spans="2:22" s="174" customFormat="1">
      <c r="B326" s="185"/>
      <c r="P326" s="186"/>
      <c r="S326" s="187"/>
      <c r="T326" s="187"/>
      <c r="U326" s="187"/>
      <c r="V326" s="187"/>
    </row>
    <row r="327" spans="2:22" s="174" customFormat="1">
      <c r="S327" s="187"/>
      <c r="T327" s="187"/>
      <c r="U327" s="187"/>
      <c r="V327" s="187"/>
    </row>
    <row r="328" spans="2:22" s="174" customFormat="1">
      <c r="S328" s="187"/>
      <c r="T328" s="187"/>
      <c r="U328" s="187"/>
      <c r="V328" s="187"/>
    </row>
    <row r="329" spans="2:22" s="174" customFormat="1">
      <c r="B329" s="185"/>
      <c r="P329" s="186"/>
      <c r="S329" s="187"/>
      <c r="T329" s="187"/>
      <c r="U329" s="187"/>
      <c r="V329" s="187"/>
    </row>
    <row r="330" spans="2:22" s="174" customFormat="1">
      <c r="S330" s="187"/>
      <c r="T330" s="187"/>
      <c r="U330" s="187"/>
      <c r="V330" s="187"/>
    </row>
    <row r="331" spans="2:22" s="174" customFormat="1">
      <c r="S331" s="187"/>
      <c r="T331" s="187"/>
      <c r="U331" s="187"/>
      <c r="V331" s="187"/>
    </row>
    <row r="332" spans="2:22" s="174" customFormat="1">
      <c r="B332" s="185"/>
      <c r="P332" s="186"/>
      <c r="S332" s="187"/>
      <c r="T332" s="187"/>
      <c r="U332" s="187"/>
      <c r="V332" s="187"/>
    </row>
    <row r="333" spans="2:22" s="174" customFormat="1">
      <c r="S333" s="187"/>
      <c r="T333" s="187"/>
      <c r="U333" s="187"/>
      <c r="V333" s="187"/>
    </row>
    <row r="334" spans="2:22" s="174" customFormat="1">
      <c r="S334" s="187"/>
      <c r="T334" s="187"/>
      <c r="U334" s="187"/>
      <c r="V334" s="187"/>
    </row>
    <row r="335" spans="2:22" s="174" customFormat="1">
      <c r="B335" s="185"/>
      <c r="P335" s="186"/>
      <c r="S335" s="187"/>
      <c r="T335" s="187"/>
      <c r="U335" s="187"/>
      <c r="V335" s="187"/>
    </row>
    <row r="336" spans="2:22" s="174" customFormat="1">
      <c r="S336" s="187"/>
      <c r="T336" s="187"/>
      <c r="U336" s="187"/>
      <c r="V336" s="187"/>
    </row>
    <row r="337" spans="2:22" s="174" customFormat="1">
      <c r="S337" s="187"/>
      <c r="T337" s="187"/>
      <c r="U337" s="187"/>
      <c r="V337" s="187"/>
    </row>
    <row r="338" spans="2:22" s="174" customFormat="1">
      <c r="B338" s="185"/>
      <c r="P338" s="186"/>
      <c r="S338" s="187"/>
      <c r="T338" s="187"/>
      <c r="U338" s="187"/>
      <c r="V338" s="187"/>
    </row>
    <row r="339" spans="2:22" s="174" customFormat="1">
      <c r="S339" s="187"/>
      <c r="T339" s="187"/>
      <c r="U339" s="187"/>
      <c r="V339" s="187"/>
    </row>
    <row r="340" spans="2:22" s="174" customFormat="1">
      <c r="S340" s="187"/>
      <c r="T340" s="187"/>
      <c r="U340" s="187"/>
      <c r="V340" s="187"/>
    </row>
    <row r="341" spans="2:22" s="174" customFormat="1">
      <c r="B341" s="185"/>
      <c r="P341" s="186"/>
      <c r="S341" s="187"/>
      <c r="T341" s="187"/>
      <c r="U341" s="187"/>
      <c r="V341" s="187"/>
    </row>
    <row r="342" spans="2:22" s="174" customFormat="1">
      <c r="S342" s="187"/>
      <c r="T342" s="187"/>
      <c r="U342" s="187"/>
      <c r="V342" s="187"/>
    </row>
    <row r="343" spans="2:22" s="174" customFormat="1">
      <c r="S343" s="187"/>
      <c r="T343" s="187"/>
      <c r="U343" s="187"/>
      <c r="V343" s="187"/>
    </row>
    <row r="344" spans="2:22" s="174" customFormat="1">
      <c r="B344" s="185"/>
      <c r="P344" s="186"/>
      <c r="S344" s="187"/>
      <c r="T344" s="187"/>
      <c r="U344" s="187"/>
      <c r="V344" s="187"/>
    </row>
    <row r="345" spans="2:22" s="174" customFormat="1">
      <c r="S345" s="187"/>
      <c r="T345" s="187"/>
      <c r="U345" s="187"/>
      <c r="V345" s="187"/>
    </row>
    <row r="346" spans="2:22" s="174" customFormat="1">
      <c r="S346" s="187"/>
      <c r="T346" s="187"/>
      <c r="U346" s="187"/>
      <c r="V346" s="187"/>
    </row>
    <row r="347" spans="2:22" s="174" customFormat="1">
      <c r="B347" s="185"/>
      <c r="P347" s="186"/>
      <c r="S347" s="187"/>
      <c r="T347" s="187"/>
      <c r="U347" s="187"/>
      <c r="V347" s="187"/>
    </row>
    <row r="348" spans="2:22" s="174" customFormat="1">
      <c r="S348" s="187"/>
      <c r="T348" s="187"/>
      <c r="U348" s="187"/>
      <c r="V348" s="187"/>
    </row>
    <row r="349" spans="2:22" s="174" customFormat="1">
      <c r="S349" s="187"/>
      <c r="T349" s="187"/>
      <c r="U349" s="187"/>
      <c r="V349" s="187"/>
    </row>
    <row r="350" spans="2:22" s="174" customFormat="1">
      <c r="B350" s="185"/>
      <c r="P350" s="186"/>
      <c r="S350" s="187"/>
      <c r="T350" s="187"/>
      <c r="U350" s="187"/>
      <c r="V350" s="187"/>
    </row>
    <row r="351" spans="2:22" s="174" customFormat="1">
      <c r="S351" s="187"/>
      <c r="T351" s="187"/>
      <c r="U351" s="187"/>
      <c r="V351" s="187"/>
    </row>
    <row r="352" spans="2:22" s="174" customFormat="1">
      <c r="S352" s="187"/>
      <c r="T352" s="187"/>
      <c r="U352" s="187"/>
      <c r="V352" s="187"/>
    </row>
    <row r="353" spans="2:22" s="174" customFormat="1">
      <c r="B353" s="185"/>
      <c r="P353" s="186"/>
      <c r="S353" s="187"/>
      <c r="T353" s="187"/>
      <c r="U353" s="187"/>
      <c r="V353" s="187"/>
    </row>
    <row r="354" spans="2:22" s="174" customFormat="1">
      <c r="S354" s="187"/>
      <c r="T354" s="187"/>
      <c r="U354" s="187"/>
      <c r="V354" s="187"/>
    </row>
    <row r="355" spans="2:22" s="174" customFormat="1">
      <c r="S355" s="187"/>
      <c r="T355" s="187"/>
      <c r="U355" s="187"/>
      <c r="V355" s="187"/>
    </row>
    <row r="356" spans="2:22" s="174" customFormat="1">
      <c r="B356" s="185"/>
      <c r="P356" s="186"/>
      <c r="S356" s="187"/>
      <c r="T356" s="187"/>
      <c r="U356" s="187"/>
      <c r="V356" s="187"/>
    </row>
    <row r="357" spans="2:22" s="174" customFormat="1">
      <c r="S357" s="187"/>
      <c r="T357" s="187"/>
      <c r="U357" s="187"/>
      <c r="V357" s="187"/>
    </row>
    <row r="358" spans="2:22" s="174" customFormat="1">
      <c r="S358" s="187"/>
      <c r="T358" s="187"/>
      <c r="U358" s="187"/>
      <c r="V358" s="187"/>
    </row>
    <row r="359" spans="2:22" s="174" customFormat="1">
      <c r="B359" s="185"/>
      <c r="P359" s="186"/>
      <c r="S359" s="187"/>
      <c r="T359" s="187"/>
      <c r="U359" s="187"/>
      <c r="V359" s="187"/>
    </row>
    <row r="360" spans="2:22" s="174" customFormat="1">
      <c r="S360" s="187"/>
      <c r="T360" s="187"/>
      <c r="U360" s="187"/>
      <c r="V360" s="187"/>
    </row>
    <row r="361" spans="2:22" s="174" customFormat="1">
      <c r="S361" s="187"/>
      <c r="T361" s="187"/>
      <c r="U361" s="187"/>
      <c r="V361" s="187"/>
    </row>
    <row r="362" spans="2:22" s="174" customFormat="1">
      <c r="B362" s="185"/>
      <c r="P362" s="186"/>
      <c r="S362" s="187"/>
      <c r="T362" s="187"/>
      <c r="U362" s="187"/>
      <c r="V362" s="187"/>
    </row>
    <row r="363" spans="2:22" s="174" customFormat="1">
      <c r="S363" s="187"/>
      <c r="T363" s="187"/>
      <c r="U363" s="187"/>
      <c r="V363" s="187"/>
    </row>
    <row r="364" spans="2:22" s="174" customFormat="1">
      <c r="S364" s="187"/>
      <c r="T364" s="187"/>
      <c r="U364" s="187"/>
      <c r="V364" s="187"/>
    </row>
    <row r="365" spans="2:22" s="174" customFormat="1">
      <c r="B365" s="185"/>
      <c r="P365" s="186"/>
      <c r="S365" s="187"/>
      <c r="T365" s="187"/>
      <c r="U365" s="187"/>
      <c r="V365" s="187"/>
    </row>
    <row r="366" spans="2:22" s="174" customFormat="1">
      <c r="S366" s="187"/>
      <c r="T366" s="187"/>
      <c r="U366" s="187"/>
      <c r="V366" s="187"/>
    </row>
    <row r="367" spans="2:22" s="174" customFormat="1">
      <c r="S367" s="187"/>
      <c r="T367" s="187"/>
      <c r="U367" s="187"/>
      <c r="V367" s="187"/>
    </row>
    <row r="368" spans="2:22" s="174" customFormat="1">
      <c r="B368" s="185"/>
      <c r="P368" s="186"/>
      <c r="S368" s="187"/>
      <c r="T368" s="187"/>
      <c r="U368" s="187"/>
      <c r="V368" s="187"/>
    </row>
    <row r="369" spans="2:22" s="174" customFormat="1">
      <c r="S369" s="187"/>
      <c r="T369" s="187"/>
      <c r="U369" s="187"/>
      <c r="V369" s="187"/>
    </row>
    <row r="370" spans="2:22" s="174" customFormat="1">
      <c r="S370" s="187"/>
      <c r="T370" s="187"/>
      <c r="U370" s="187"/>
      <c r="V370" s="187"/>
    </row>
    <row r="371" spans="2:22" s="174" customFormat="1">
      <c r="B371" s="185"/>
      <c r="P371" s="186"/>
      <c r="S371" s="187"/>
      <c r="T371" s="187"/>
      <c r="U371" s="187"/>
      <c r="V371" s="187"/>
    </row>
    <row r="372" spans="2:22" s="174" customFormat="1">
      <c r="S372" s="187"/>
      <c r="T372" s="187"/>
      <c r="U372" s="187"/>
      <c r="V372" s="187"/>
    </row>
    <row r="373" spans="2:22" s="174" customFormat="1">
      <c r="S373" s="187"/>
      <c r="T373" s="187"/>
      <c r="U373" s="187"/>
      <c r="V373" s="187"/>
    </row>
    <row r="374" spans="2:22" s="174" customFormat="1">
      <c r="B374" s="185"/>
      <c r="P374" s="186"/>
      <c r="S374" s="187"/>
      <c r="T374" s="187"/>
      <c r="U374" s="187"/>
      <c r="V374" s="187"/>
    </row>
    <row r="375" spans="2:22" s="174" customFormat="1">
      <c r="S375" s="187"/>
      <c r="T375" s="187"/>
      <c r="U375" s="187"/>
      <c r="V375" s="187"/>
    </row>
    <row r="376" spans="2:22" s="174" customFormat="1">
      <c r="S376" s="187"/>
      <c r="T376" s="187"/>
      <c r="U376" s="187"/>
      <c r="V376" s="187"/>
    </row>
    <row r="377" spans="2:22" s="174" customFormat="1">
      <c r="B377" s="185"/>
      <c r="P377" s="186"/>
      <c r="S377" s="187"/>
      <c r="T377" s="187"/>
      <c r="U377" s="187"/>
      <c r="V377" s="187"/>
    </row>
    <row r="378" spans="2:22" s="174" customFormat="1">
      <c r="S378" s="187"/>
      <c r="T378" s="187"/>
      <c r="U378" s="187"/>
      <c r="V378" s="187"/>
    </row>
    <row r="379" spans="2:22" s="174" customFormat="1">
      <c r="S379" s="187"/>
      <c r="T379" s="187"/>
      <c r="U379" s="187"/>
      <c r="V379" s="187"/>
    </row>
    <row r="380" spans="2:22" s="174" customFormat="1">
      <c r="B380" s="185"/>
      <c r="P380" s="186"/>
      <c r="S380" s="187"/>
      <c r="T380" s="187"/>
      <c r="U380" s="187"/>
      <c r="V380" s="187"/>
    </row>
    <row r="381" spans="2:22" s="174" customFormat="1">
      <c r="S381" s="187"/>
      <c r="T381" s="187"/>
      <c r="U381" s="187"/>
      <c r="V381" s="187"/>
    </row>
    <row r="382" spans="2:22" s="174" customFormat="1">
      <c r="S382" s="187"/>
      <c r="T382" s="187"/>
      <c r="U382" s="187"/>
      <c r="V382" s="187"/>
    </row>
    <row r="383" spans="2:22" s="174" customFormat="1">
      <c r="B383" s="185"/>
      <c r="P383" s="186"/>
      <c r="S383" s="187"/>
      <c r="T383" s="187"/>
      <c r="U383" s="187"/>
      <c r="V383" s="187"/>
    </row>
    <row r="384" spans="2:22" s="174" customFormat="1">
      <c r="S384" s="187"/>
      <c r="T384" s="187"/>
      <c r="U384" s="187"/>
      <c r="V384" s="187"/>
    </row>
    <row r="385" spans="2:22" s="174" customFormat="1">
      <c r="S385" s="187"/>
      <c r="T385" s="187"/>
      <c r="U385" s="187"/>
      <c r="V385" s="187"/>
    </row>
    <row r="386" spans="2:22" s="174" customFormat="1">
      <c r="B386" s="185"/>
      <c r="P386" s="186"/>
      <c r="S386" s="187"/>
      <c r="T386" s="187"/>
      <c r="U386" s="187"/>
      <c r="V386" s="187"/>
    </row>
    <row r="387" spans="2:22" s="174" customFormat="1">
      <c r="S387" s="187"/>
      <c r="T387" s="187"/>
      <c r="U387" s="187"/>
      <c r="V387" s="187"/>
    </row>
    <row r="388" spans="2:22" s="174" customFormat="1">
      <c r="S388" s="187"/>
      <c r="T388" s="187"/>
      <c r="U388" s="187"/>
      <c r="V388" s="187"/>
    </row>
    <row r="389" spans="2:22" s="174" customFormat="1">
      <c r="B389" s="185"/>
      <c r="P389" s="186"/>
      <c r="S389" s="187"/>
      <c r="T389" s="187"/>
      <c r="U389" s="187"/>
      <c r="V389" s="187"/>
    </row>
    <row r="390" spans="2:22" s="174" customFormat="1">
      <c r="S390" s="187"/>
      <c r="T390" s="187"/>
      <c r="U390" s="187"/>
      <c r="V390" s="187"/>
    </row>
    <row r="391" spans="2:22" s="174" customFormat="1">
      <c r="S391" s="187"/>
      <c r="T391" s="187"/>
      <c r="U391" s="187"/>
      <c r="V391" s="187"/>
    </row>
    <row r="392" spans="2:22" s="174" customFormat="1">
      <c r="B392" s="185"/>
      <c r="P392" s="186"/>
      <c r="S392" s="187"/>
      <c r="T392" s="187"/>
      <c r="U392" s="187"/>
      <c r="V392" s="187"/>
    </row>
    <row r="393" spans="2:22" s="174" customFormat="1">
      <c r="S393" s="187"/>
      <c r="T393" s="187"/>
      <c r="U393" s="187"/>
      <c r="V393" s="187"/>
    </row>
    <row r="394" spans="2:22" s="174" customFormat="1">
      <c r="S394" s="187"/>
      <c r="T394" s="187"/>
      <c r="U394" s="187"/>
      <c r="V394" s="187"/>
    </row>
    <row r="395" spans="2:22" s="174" customFormat="1">
      <c r="B395" s="185"/>
      <c r="P395" s="186"/>
      <c r="S395" s="187"/>
      <c r="T395" s="187"/>
      <c r="U395" s="187"/>
      <c r="V395" s="187"/>
    </row>
    <row r="396" spans="2:22" s="174" customFormat="1">
      <c r="S396" s="187"/>
      <c r="T396" s="187"/>
      <c r="U396" s="187"/>
      <c r="V396" s="187"/>
    </row>
    <row r="397" spans="2:22" s="174" customFormat="1">
      <c r="S397" s="187"/>
      <c r="T397" s="187"/>
      <c r="U397" s="187"/>
      <c r="V397" s="187"/>
    </row>
    <row r="398" spans="2:22" s="174" customFormat="1">
      <c r="B398" s="185"/>
      <c r="P398" s="186"/>
      <c r="S398" s="187"/>
      <c r="T398" s="187"/>
      <c r="U398" s="187"/>
      <c r="V398" s="187"/>
    </row>
    <row r="399" spans="2:22" s="174" customFormat="1">
      <c r="S399" s="187"/>
      <c r="T399" s="187"/>
      <c r="U399" s="187"/>
      <c r="V399" s="187"/>
    </row>
    <row r="400" spans="2:22" s="174" customFormat="1">
      <c r="S400" s="187"/>
      <c r="T400" s="187"/>
      <c r="U400" s="187"/>
      <c r="V400" s="187"/>
    </row>
    <row r="401" spans="2:22" s="174" customFormat="1">
      <c r="B401" s="185"/>
      <c r="P401" s="186"/>
      <c r="S401" s="187"/>
      <c r="T401" s="187"/>
      <c r="U401" s="187"/>
      <c r="V401" s="187"/>
    </row>
    <row r="402" spans="2:22" s="174" customFormat="1">
      <c r="S402" s="187"/>
      <c r="T402" s="187"/>
      <c r="U402" s="187"/>
      <c r="V402" s="187"/>
    </row>
    <row r="403" spans="2:22" s="174" customFormat="1">
      <c r="S403" s="187"/>
      <c r="T403" s="187"/>
      <c r="U403" s="187"/>
      <c r="V403" s="187"/>
    </row>
    <row r="404" spans="2:22" s="174" customFormat="1">
      <c r="B404" s="185"/>
      <c r="P404" s="186"/>
      <c r="S404" s="187"/>
      <c r="T404" s="187"/>
      <c r="U404" s="187"/>
      <c r="V404" s="187"/>
    </row>
    <row r="405" spans="2:22" s="174" customFormat="1">
      <c r="S405" s="187"/>
      <c r="T405" s="187"/>
      <c r="U405" s="187"/>
      <c r="V405" s="187"/>
    </row>
    <row r="406" spans="2:22" s="174" customFormat="1">
      <c r="S406" s="187"/>
      <c r="T406" s="187"/>
      <c r="U406" s="187"/>
      <c r="V406" s="187"/>
    </row>
    <row r="407" spans="2:22" s="174" customFormat="1">
      <c r="B407" s="185"/>
      <c r="P407" s="186"/>
      <c r="S407" s="187"/>
      <c r="T407" s="187"/>
      <c r="U407" s="187"/>
      <c r="V407" s="187"/>
    </row>
    <row r="408" spans="2:22" s="174" customFormat="1">
      <c r="S408" s="187"/>
      <c r="T408" s="187"/>
      <c r="U408" s="187"/>
      <c r="V408" s="187"/>
    </row>
    <row r="409" spans="2:22" s="174" customFormat="1">
      <c r="S409" s="187"/>
      <c r="T409" s="187"/>
      <c r="U409" s="187"/>
      <c r="V409" s="187"/>
    </row>
    <row r="410" spans="2:22" s="174" customFormat="1">
      <c r="B410" s="185"/>
      <c r="P410" s="186"/>
      <c r="S410" s="187"/>
      <c r="T410" s="187"/>
      <c r="U410" s="187"/>
      <c r="V410" s="187"/>
    </row>
    <row r="411" spans="2:22" s="174" customFormat="1">
      <c r="S411" s="187"/>
      <c r="T411" s="187"/>
      <c r="U411" s="187"/>
      <c r="V411" s="187"/>
    </row>
    <row r="412" spans="2:22" s="174" customFormat="1">
      <c r="S412" s="187"/>
      <c r="T412" s="187"/>
      <c r="U412" s="187"/>
      <c r="V412" s="187"/>
    </row>
    <row r="413" spans="2:22" s="174" customFormat="1">
      <c r="B413" s="185"/>
      <c r="P413" s="186"/>
      <c r="S413" s="187"/>
      <c r="T413" s="187"/>
      <c r="U413" s="187"/>
      <c r="V413" s="187"/>
    </row>
    <row r="414" spans="2:22" s="174" customFormat="1">
      <c r="S414" s="187"/>
      <c r="T414" s="187"/>
      <c r="U414" s="187"/>
      <c r="V414" s="187"/>
    </row>
    <row r="415" spans="2:22" s="174" customFormat="1">
      <c r="S415" s="187"/>
      <c r="T415" s="187"/>
      <c r="U415" s="187"/>
      <c r="V415" s="187"/>
    </row>
    <row r="416" spans="2:22" s="174" customFormat="1">
      <c r="B416" s="185"/>
      <c r="P416" s="186"/>
      <c r="S416" s="187"/>
      <c r="T416" s="187"/>
      <c r="U416" s="187"/>
      <c r="V416" s="187"/>
    </row>
    <row r="417" spans="2:22" s="174" customFormat="1">
      <c r="S417" s="187"/>
      <c r="T417" s="187"/>
      <c r="U417" s="187"/>
      <c r="V417" s="187"/>
    </row>
    <row r="418" spans="2:22" s="174" customFormat="1">
      <c r="S418" s="187"/>
      <c r="T418" s="187"/>
      <c r="U418" s="187"/>
      <c r="V418" s="187"/>
    </row>
    <row r="419" spans="2:22" s="174" customFormat="1">
      <c r="B419" s="185"/>
      <c r="P419" s="186"/>
      <c r="S419" s="187"/>
      <c r="T419" s="187"/>
      <c r="U419" s="187"/>
      <c r="V419" s="187"/>
    </row>
    <row r="420" spans="2:22" s="174" customFormat="1">
      <c r="S420" s="187"/>
      <c r="T420" s="187"/>
      <c r="U420" s="187"/>
      <c r="V420" s="187"/>
    </row>
    <row r="421" spans="2:22" s="174" customFormat="1">
      <c r="S421" s="187"/>
      <c r="T421" s="187"/>
      <c r="U421" s="187"/>
      <c r="V421" s="187"/>
    </row>
    <row r="422" spans="2:22" s="174" customFormat="1">
      <c r="B422" s="185"/>
      <c r="P422" s="186"/>
      <c r="S422" s="187"/>
      <c r="T422" s="187"/>
      <c r="U422" s="187"/>
      <c r="V422" s="187"/>
    </row>
    <row r="423" spans="2:22" s="174" customFormat="1">
      <c r="S423" s="187"/>
      <c r="T423" s="187"/>
      <c r="U423" s="187"/>
      <c r="V423" s="187"/>
    </row>
    <row r="424" spans="2:22" s="174" customFormat="1">
      <c r="S424" s="187"/>
      <c r="T424" s="187"/>
      <c r="U424" s="187"/>
      <c r="V424" s="187"/>
    </row>
    <row r="425" spans="2:22" s="174" customFormat="1">
      <c r="B425" s="185"/>
      <c r="P425" s="186"/>
      <c r="S425" s="187"/>
      <c r="T425" s="187"/>
      <c r="U425" s="187"/>
      <c r="V425" s="187"/>
    </row>
    <row r="426" spans="2:22" s="174" customFormat="1">
      <c r="S426" s="187"/>
      <c r="T426" s="187"/>
      <c r="U426" s="187"/>
      <c r="V426" s="187"/>
    </row>
    <row r="427" spans="2:22" s="174" customFormat="1">
      <c r="S427" s="187"/>
      <c r="T427" s="187"/>
      <c r="U427" s="187"/>
      <c r="V427" s="187"/>
    </row>
    <row r="428" spans="2:22" s="174" customFormat="1">
      <c r="B428" s="185"/>
      <c r="P428" s="186"/>
      <c r="S428" s="187"/>
      <c r="T428" s="187"/>
      <c r="U428" s="187"/>
      <c r="V428" s="187"/>
    </row>
    <row r="429" spans="2:22" s="174" customFormat="1">
      <c r="S429" s="187"/>
      <c r="T429" s="187"/>
      <c r="U429" s="187"/>
      <c r="V429" s="187"/>
    </row>
    <row r="430" spans="2:22" s="174" customFormat="1">
      <c r="S430" s="187"/>
      <c r="T430" s="187"/>
      <c r="U430" s="187"/>
      <c r="V430" s="187"/>
    </row>
    <row r="431" spans="2:22" s="174" customFormat="1">
      <c r="B431" s="185"/>
      <c r="P431" s="186"/>
      <c r="S431" s="187"/>
      <c r="T431" s="187"/>
      <c r="U431" s="187"/>
      <c r="V431" s="187"/>
    </row>
    <row r="432" spans="2:22" s="174" customFormat="1">
      <c r="S432" s="187"/>
      <c r="T432" s="187"/>
      <c r="U432" s="187"/>
      <c r="V432" s="187"/>
    </row>
    <row r="433" spans="2:22" s="174" customFormat="1">
      <c r="S433" s="187"/>
      <c r="T433" s="187"/>
      <c r="U433" s="187"/>
      <c r="V433" s="187"/>
    </row>
    <row r="434" spans="2:22" s="174" customFormat="1">
      <c r="B434" s="185"/>
      <c r="P434" s="186"/>
      <c r="S434" s="187"/>
      <c r="T434" s="187"/>
      <c r="U434" s="187"/>
      <c r="V434" s="187"/>
    </row>
    <row r="435" spans="2:22" s="174" customFormat="1">
      <c r="S435" s="187"/>
      <c r="T435" s="187"/>
      <c r="U435" s="187"/>
      <c r="V435" s="187"/>
    </row>
    <row r="436" spans="2:22" s="174" customFormat="1">
      <c r="S436" s="187"/>
      <c r="T436" s="187"/>
      <c r="U436" s="187"/>
      <c r="V436" s="187"/>
    </row>
    <row r="437" spans="2:22" s="174" customFormat="1">
      <c r="B437" s="185"/>
      <c r="P437" s="186"/>
      <c r="S437" s="187"/>
      <c r="T437" s="187"/>
      <c r="U437" s="187"/>
      <c r="V437" s="187"/>
    </row>
    <row r="438" spans="2:22" s="174" customFormat="1">
      <c r="S438" s="187"/>
      <c r="T438" s="187"/>
      <c r="U438" s="187"/>
      <c r="V438" s="187"/>
    </row>
    <row r="439" spans="2:22" s="174" customFormat="1">
      <c r="S439" s="187"/>
      <c r="T439" s="187"/>
      <c r="U439" s="187"/>
      <c r="V439" s="187"/>
    </row>
    <row r="440" spans="2:22" s="174" customFormat="1">
      <c r="B440" s="185"/>
      <c r="P440" s="186"/>
      <c r="S440" s="187"/>
      <c r="T440" s="187"/>
      <c r="U440" s="187"/>
      <c r="V440" s="187"/>
    </row>
    <row r="441" spans="2:22" s="174" customFormat="1">
      <c r="S441" s="187"/>
      <c r="T441" s="187"/>
      <c r="U441" s="187"/>
      <c r="V441" s="187"/>
    </row>
    <row r="442" spans="2:22" s="174" customFormat="1">
      <c r="S442" s="187"/>
      <c r="T442" s="187"/>
      <c r="U442" s="187"/>
      <c r="V442" s="187"/>
    </row>
    <row r="443" spans="2:22" s="174" customFormat="1">
      <c r="B443" s="185"/>
      <c r="P443" s="186"/>
      <c r="S443" s="187"/>
      <c r="T443" s="187"/>
      <c r="U443" s="187"/>
      <c r="V443" s="187"/>
    </row>
    <row r="444" spans="2:22" s="174" customFormat="1">
      <c r="S444" s="187"/>
      <c r="T444" s="187"/>
      <c r="U444" s="187"/>
      <c r="V444" s="187"/>
    </row>
    <row r="445" spans="2:22" s="174" customFormat="1">
      <c r="S445" s="187"/>
      <c r="T445" s="187"/>
      <c r="U445" s="187"/>
      <c r="V445" s="187"/>
    </row>
    <row r="446" spans="2:22" s="174" customFormat="1">
      <c r="B446" s="185"/>
      <c r="P446" s="186"/>
      <c r="S446" s="187"/>
      <c r="T446" s="187"/>
      <c r="U446" s="187"/>
      <c r="V446" s="187"/>
    </row>
    <row r="447" spans="2:22" s="174" customFormat="1">
      <c r="S447" s="187"/>
      <c r="T447" s="187"/>
      <c r="U447" s="187"/>
      <c r="V447" s="187"/>
    </row>
    <row r="448" spans="2:22" s="174" customFormat="1">
      <c r="S448" s="187"/>
      <c r="T448" s="187"/>
      <c r="U448" s="187"/>
      <c r="V448" s="187"/>
    </row>
    <row r="449" spans="2:22" s="174" customFormat="1">
      <c r="B449" s="185"/>
      <c r="P449" s="186"/>
      <c r="S449" s="187"/>
      <c r="T449" s="187"/>
      <c r="U449" s="187"/>
      <c r="V449" s="187"/>
    </row>
    <row r="450" spans="2:22" s="174" customFormat="1">
      <c r="S450" s="187"/>
      <c r="T450" s="187"/>
      <c r="U450" s="187"/>
      <c r="V450" s="187"/>
    </row>
    <row r="451" spans="2:22" s="174" customFormat="1">
      <c r="S451" s="187"/>
      <c r="T451" s="187"/>
      <c r="U451" s="187"/>
      <c r="V451" s="187"/>
    </row>
    <row r="452" spans="2:22" s="174" customFormat="1">
      <c r="B452" s="185"/>
      <c r="P452" s="186"/>
      <c r="S452" s="187"/>
      <c r="T452" s="187"/>
      <c r="U452" s="187"/>
      <c r="V452" s="187"/>
    </row>
    <row r="453" spans="2:22" s="174" customFormat="1">
      <c r="S453" s="187"/>
      <c r="T453" s="187"/>
      <c r="U453" s="187"/>
      <c r="V453" s="187"/>
    </row>
    <row r="454" spans="2:22" s="174" customFormat="1">
      <c r="S454" s="187"/>
      <c r="T454" s="187"/>
      <c r="U454" s="187"/>
      <c r="V454" s="187"/>
    </row>
    <row r="455" spans="2:22" s="174" customFormat="1">
      <c r="B455" s="185"/>
      <c r="P455" s="186"/>
      <c r="S455" s="187"/>
      <c r="T455" s="187"/>
      <c r="U455" s="187"/>
      <c r="V455" s="187"/>
    </row>
    <row r="456" spans="2:22" s="174" customFormat="1">
      <c r="S456" s="187"/>
      <c r="T456" s="187"/>
      <c r="U456" s="187"/>
      <c r="V456" s="187"/>
    </row>
    <row r="457" spans="2:22" s="174" customFormat="1">
      <c r="S457" s="187"/>
      <c r="T457" s="187"/>
      <c r="U457" s="187"/>
      <c r="V457" s="187"/>
    </row>
    <row r="458" spans="2:22" s="174" customFormat="1">
      <c r="B458" s="185"/>
      <c r="P458" s="186"/>
      <c r="S458" s="187"/>
      <c r="T458" s="187"/>
      <c r="U458" s="187"/>
      <c r="V458" s="187"/>
    </row>
    <row r="459" spans="2:22" s="174" customFormat="1">
      <c r="S459" s="187"/>
      <c r="T459" s="187"/>
      <c r="U459" s="187"/>
      <c r="V459" s="187"/>
    </row>
    <row r="460" spans="2:22" s="174" customFormat="1">
      <c r="S460" s="187"/>
      <c r="T460" s="187"/>
      <c r="U460" s="187"/>
      <c r="V460" s="187"/>
    </row>
    <row r="461" spans="2:22" s="174" customFormat="1">
      <c r="B461" s="185"/>
      <c r="P461" s="186"/>
      <c r="S461" s="187"/>
      <c r="T461" s="187"/>
      <c r="U461" s="187"/>
      <c r="V461" s="187"/>
    </row>
    <row r="462" spans="2:22" s="174" customFormat="1">
      <c r="S462" s="187"/>
      <c r="T462" s="187"/>
      <c r="U462" s="187"/>
      <c r="V462" s="187"/>
    </row>
    <row r="463" spans="2:22" s="174" customFormat="1">
      <c r="S463" s="187"/>
      <c r="T463" s="187"/>
      <c r="U463" s="187"/>
      <c r="V463" s="187"/>
    </row>
    <row r="464" spans="2:22" s="174" customFormat="1">
      <c r="B464" s="185"/>
      <c r="P464" s="186"/>
      <c r="S464" s="187"/>
      <c r="T464" s="187"/>
      <c r="U464" s="187"/>
      <c r="V464" s="187"/>
    </row>
    <row r="465" spans="2:22" s="174" customFormat="1">
      <c r="S465" s="187"/>
      <c r="T465" s="187"/>
      <c r="U465" s="187"/>
      <c r="V465" s="187"/>
    </row>
    <row r="466" spans="2:22" s="174" customFormat="1">
      <c r="S466" s="187"/>
      <c r="T466" s="187"/>
      <c r="U466" s="187"/>
      <c r="V466" s="187"/>
    </row>
    <row r="467" spans="2:22" s="174" customFormat="1">
      <c r="B467" s="185"/>
      <c r="P467" s="186"/>
      <c r="S467" s="187"/>
      <c r="T467" s="187"/>
      <c r="U467" s="187"/>
      <c r="V467" s="187"/>
    </row>
    <row r="468" spans="2:22" s="174" customFormat="1">
      <c r="S468" s="187"/>
      <c r="T468" s="187"/>
      <c r="U468" s="187"/>
      <c r="V468" s="187"/>
    </row>
    <row r="469" spans="2:22" s="174" customFormat="1">
      <c r="S469" s="187"/>
      <c r="T469" s="187"/>
      <c r="U469" s="187"/>
      <c r="V469" s="187"/>
    </row>
    <row r="470" spans="2:22" s="174" customFormat="1">
      <c r="B470" s="185"/>
      <c r="P470" s="186"/>
      <c r="S470" s="187"/>
      <c r="T470" s="187"/>
      <c r="U470" s="187"/>
      <c r="V470" s="187"/>
    </row>
    <row r="471" spans="2:22" s="174" customFormat="1">
      <c r="S471" s="187"/>
      <c r="T471" s="187"/>
      <c r="U471" s="187"/>
      <c r="V471" s="187"/>
    </row>
    <row r="472" spans="2:22" s="174" customFormat="1">
      <c r="S472" s="187"/>
      <c r="T472" s="187"/>
      <c r="U472" s="187"/>
      <c r="V472" s="187"/>
    </row>
    <row r="473" spans="2:22" s="174" customFormat="1">
      <c r="B473" s="185"/>
      <c r="P473" s="186"/>
      <c r="S473" s="187"/>
      <c r="T473" s="187"/>
      <c r="U473" s="187"/>
      <c r="V473" s="187"/>
    </row>
    <row r="474" spans="2:22" s="174" customFormat="1">
      <c r="S474" s="187"/>
      <c r="T474" s="187"/>
      <c r="U474" s="187"/>
      <c r="V474" s="187"/>
    </row>
    <row r="475" spans="2:22" s="174" customFormat="1">
      <c r="S475" s="187"/>
      <c r="T475" s="187"/>
      <c r="U475" s="187"/>
      <c r="V475" s="187"/>
    </row>
    <row r="476" spans="2:22" s="174" customFormat="1">
      <c r="B476" s="185"/>
      <c r="P476" s="186"/>
      <c r="S476" s="187"/>
      <c r="T476" s="187"/>
      <c r="U476" s="187"/>
      <c r="V476" s="187"/>
    </row>
    <row r="477" spans="2:22" s="174" customFormat="1">
      <c r="S477" s="187"/>
      <c r="T477" s="187"/>
      <c r="U477" s="187"/>
      <c r="V477" s="187"/>
    </row>
    <row r="478" spans="2:22" s="174" customFormat="1">
      <c r="S478" s="187"/>
      <c r="T478" s="187"/>
      <c r="U478" s="187"/>
      <c r="V478" s="187"/>
    </row>
    <row r="479" spans="2:22" s="174" customFormat="1">
      <c r="B479" s="185"/>
      <c r="P479" s="186"/>
      <c r="S479" s="187"/>
      <c r="T479" s="187"/>
      <c r="U479" s="187"/>
      <c r="V479" s="187"/>
    </row>
    <row r="480" spans="2:22" s="174" customFormat="1">
      <c r="S480" s="187"/>
      <c r="T480" s="187"/>
      <c r="U480" s="187"/>
      <c r="V480" s="187"/>
    </row>
    <row r="481" spans="2:22" s="174" customFormat="1">
      <c r="S481" s="187"/>
      <c r="T481" s="187"/>
      <c r="U481" s="187"/>
      <c r="V481" s="187"/>
    </row>
    <row r="482" spans="2:22" s="174" customFormat="1">
      <c r="B482" s="185"/>
      <c r="P482" s="186"/>
      <c r="S482" s="187"/>
      <c r="T482" s="187"/>
      <c r="U482" s="187"/>
      <c r="V482" s="187"/>
    </row>
    <row r="483" spans="2:22" s="174" customFormat="1">
      <c r="S483" s="187"/>
      <c r="T483" s="187"/>
      <c r="U483" s="187"/>
      <c r="V483" s="187"/>
    </row>
    <row r="484" spans="2:22" s="174" customFormat="1">
      <c r="S484" s="187"/>
      <c r="T484" s="187"/>
      <c r="U484" s="187"/>
      <c r="V484" s="187"/>
    </row>
    <row r="485" spans="2:22" s="174" customFormat="1">
      <c r="B485" s="185"/>
      <c r="P485" s="186"/>
      <c r="S485" s="187"/>
      <c r="T485" s="187"/>
      <c r="U485" s="187"/>
      <c r="V485" s="187"/>
    </row>
    <row r="486" spans="2:22" s="174" customFormat="1">
      <c r="S486" s="187"/>
      <c r="T486" s="187"/>
      <c r="U486" s="187"/>
      <c r="V486" s="187"/>
    </row>
    <row r="487" spans="2:22" s="174" customFormat="1">
      <c r="S487" s="187"/>
      <c r="T487" s="187"/>
      <c r="U487" s="187"/>
      <c r="V487" s="187"/>
    </row>
    <row r="488" spans="2:22" s="174" customFormat="1">
      <c r="B488" s="185"/>
      <c r="P488" s="186"/>
      <c r="S488" s="187"/>
      <c r="T488" s="187"/>
      <c r="U488" s="187"/>
      <c r="V488" s="187"/>
    </row>
    <row r="489" spans="2:22" s="174" customFormat="1">
      <c r="S489" s="187"/>
      <c r="T489" s="187"/>
      <c r="U489" s="187"/>
      <c r="V489" s="187"/>
    </row>
    <row r="490" spans="2:22" s="174" customFormat="1">
      <c r="S490" s="187"/>
      <c r="T490" s="187"/>
      <c r="U490" s="187"/>
      <c r="V490" s="187"/>
    </row>
    <row r="491" spans="2:22" s="174" customFormat="1">
      <c r="B491" s="185"/>
      <c r="P491" s="186"/>
      <c r="S491" s="187"/>
      <c r="T491" s="187"/>
      <c r="U491" s="187"/>
      <c r="V491" s="187"/>
    </row>
    <row r="492" spans="2:22" s="174" customFormat="1">
      <c r="S492" s="187"/>
      <c r="T492" s="187"/>
      <c r="U492" s="187"/>
      <c r="V492" s="187"/>
    </row>
    <row r="493" spans="2:22" s="174" customFormat="1">
      <c r="S493" s="187"/>
      <c r="T493" s="187"/>
      <c r="U493" s="187"/>
      <c r="V493" s="187"/>
    </row>
    <row r="494" spans="2:22" s="174" customFormat="1">
      <c r="B494" s="185"/>
      <c r="P494" s="186"/>
      <c r="S494" s="187"/>
      <c r="T494" s="187"/>
      <c r="U494" s="187"/>
      <c r="V494" s="187"/>
    </row>
    <row r="495" spans="2:22" s="174" customFormat="1">
      <c r="S495" s="187"/>
      <c r="T495" s="187"/>
      <c r="U495" s="187"/>
      <c r="V495" s="187"/>
    </row>
    <row r="496" spans="2:22" s="174" customFormat="1">
      <c r="S496" s="187"/>
      <c r="T496" s="187"/>
      <c r="U496" s="187"/>
      <c r="V496" s="187"/>
    </row>
    <row r="497" spans="2:22" s="174" customFormat="1">
      <c r="B497" s="185"/>
      <c r="P497" s="186"/>
      <c r="S497" s="187"/>
      <c r="T497" s="187"/>
      <c r="U497" s="187"/>
      <c r="V497" s="187"/>
    </row>
    <row r="498" spans="2:22" s="174" customFormat="1">
      <c r="S498" s="187"/>
      <c r="T498" s="187"/>
      <c r="U498" s="187"/>
      <c r="V498" s="187"/>
    </row>
    <row r="499" spans="2:22" s="174" customFormat="1">
      <c r="S499" s="187"/>
      <c r="T499" s="187"/>
      <c r="U499" s="187"/>
      <c r="V499" s="187"/>
    </row>
    <row r="500" spans="2:22" s="174" customFormat="1">
      <c r="B500" s="185"/>
      <c r="P500" s="186"/>
      <c r="S500" s="187"/>
      <c r="T500" s="187"/>
      <c r="U500" s="187"/>
      <c r="V500" s="187"/>
    </row>
    <row r="501" spans="2:22" s="174" customFormat="1">
      <c r="S501" s="187"/>
      <c r="T501" s="187"/>
      <c r="U501" s="187"/>
      <c r="V501" s="187"/>
    </row>
    <row r="502" spans="2:22" s="174" customFormat="1">
      <c r="S502" s="187"/>
      <c r="T502" s="187"/>
      <c r="U502" s="187"/>
      <c r="V502" s="187"/>
    </row>
    <row r="503" spans="2:22" s="174" customFormat="1">
      <c r="B503" s="185"/>
      <c r="P503" s="186"/>
      <c r="S503" s="187"/>
      <c r="T503" s="187"/>
      <c r="U503" s="187"/>
      <c r="V503" s="187"/>
    </row>
    <row r="504" spans="2:22" s="174" customFormat="1">
      <c r="S504" s="187"/>
      <c r="T504" s="187"/>
      <c r="U504" s="187"/>
      <c r="V504" s="187"/>
    </row>
    <row r="505" spans="2:22" s="174" customFormat="1">
      <c r="S505" s="187"/>
      <c r="T505" s="187"/>
      <c r="U505" s="187"/>
      <c r="V505" s="187"/>
    </row>
    <row r="506" spans="2:22" s="174" customFormat="1">
      <c r="B506" s="185"/>
      <c r="P506" s="186"/>
      <c r="S506" s="187"/>
      <c r="T506" s="187"/>
      <c r="U506" s="187"/>
      <c r="V506" s="187"/>
    </row>
    <row r="507" spans="2:22" s="174" customFormat="1">
      <c r="S507" s="187"/>
      <c r="T507" s="187"/>
      <c r="U507" s="187"/>
      <c r="V507" s="187"/>
    </row>
    <row r="508" spans="2:22" s="174" customFormat="1">
      <c r="S508" s="187"/>
      <c r="T508" s="187"/>
      <c r="U508" s="187"/>
      <c r="V508" s="187"/>
    </row>
    <row r="509" spans="2:22" s="174" customFormat="1">
      <c r="B509" s="185"/>
      <c r="P509" s="186"/>
      <c r="S509" s="187"/>
      <c r="T509" s="187"/>
      <c r="U509" s="187"/>
      <c r="V509" s="187"/>
    </row>
    <row r="510" spans="2:22" s="174" customFormat="1">
      <c r="S510" s="187"/>
      <c r="T510" s="187"/>
      <c r="U510" s="187"/>
      <c r="V510" s="187"/>
    </row>
    <row r="511" spans="2:22" s="174" customFormat="1">
      <c r="S511" s="187"/>
      <c r="T511" s="187"/>
      <c r="U511" s="187"/>
      <c r="V511" s="187"/>
    </row>
    <row r="512" spans="2:22" s="174" customFormat="1">
      <c r="B512" s="185"/>
      <c r="P512" s="186"/>
      <c r="S512" s="187"/>
      <c r="T512" s="187"/>
      <c r="U512" s="187"/>
      <c r="V512" s="187"/>
    </row>
    <row r="513" spans="2:22" s="174" customFormat="1">
      <c r="S513" s="187"/>
      <c r="T513" s="187"/>
      <c r="U513" s="187"/>
      <c r="V513" s="187"/>
    </row>
    <row r="514" spans="2:22" s="174" customFormat="1">
      <c r="S514" s="187"/>
      <c r="T514" s="187"/>
      <c r="U514" s="187"/>
      <c r="V514" s="187"/>
    </row>
    <row r="515" spans="2:22" s="174" customFormat="1">
      <c r="B515" s="185"/>
      <c r="P515" s="186"/>
      <c r="S515" s="187"/>
      <c r="T515" s="187"/>
      <c r="U515" s="187"/>
      <c r="V515" s="187"/>
    </row>
    <row r="516" spans="2:22" s="174" customFormat="1">
      <c r="S516" s="187"/>
      <c r="T516" s="187"/>
      <c r="U516" s="187"/>
      <c r="V516" s="187"/>
    </row>
    <row r="517" spans="2:22" s="174" customFormat="1">
      <c r="S517" s="187"/>
      <c r="T517" s="187"/>
      <c r="U517" s="187"/>
      <c r="V517" s="187"/>
    </row>
    <row r="518" spans="2:22" s="174" customFormat="1">
      <c r="B518" s="185"/>
      <c r="P518" s="186"/>
      <c r="S518" s="187"/>
      <c r="T518" s="187"/>
      <c r="U518" s="187"/>
      <c r="V518" s="187"/>
    </row>
    <row r="519" spans="2:22" s="174" customFormat="1">
      <c r="S519" s="187"/>
      <c r="T519" s="187"/>
      <c r="U519" s="187"/>
      <c r="V519" s="187"/>
    </row>
    <row r="520" spans="2:22" s="174" customFormat="1">
      <c r="S520" s="187"/>
      <c r="T520" s="187"/>
      <c r="U520" s="187"/>
      <c r="V520" s="187"/>
    </row>
    <row r="521" spans="2:22" s="174" customFormat="1">
      <c r="B521" s="185"/>
      <c r="P521" s="186"/>
      <c r="S521" s="187"/>
      <c r="T521" s="187"/>
      <c r="U521" s="187"/>
      <c r="V521" s="187"/>
    </row>
    <row r="522" spans="2:22" s="174" customFormat="1">
      <c r="S522" s="187"/>
      <c r="T522" s="187"/>
      <c r="U522" s="187"/>
      <c r="V522" s="187"/>
    </row>
    <row r="523" spans="2:22" s="174" customFormat="1">
      <c r="S523" s="187"/>
      <c r="T523" s="187"/>
      <c r="U523" s="187"/>
      <c r="V523" s="187"/>
    </row>
    <row r="524" spans="2:22" s="174" customFormat="1">
      <c r="B524" s="185"/>
      <c r="P524" s="186"/>
      <c r="S524" s="187"/>
      <c r="T524" s="187"/>
      <c r="U524" s="187"/>
      <c r="V524" s="187"/>
    </row>
    <row r="525" spans="2:22" s="174" customFormat="1">
      <c r="S525" s="187"/>
      <c r="T525" s="187"/>
      <c r="U525" s="187"/>
      <c r="V525" s="187"/>
    </row>
    <row r="526" spans="2:22" s="174" customFormat="1">
      <c r="S526" s="187"/>
      <c r="T526" s="187"/>
      <c r="U526" s="187"/>
      <c r="V526" s="187"/>
    </row>
    <row r="527" spans="2:22" s="174" customFormat="1">
      <c r="B527" s="185"/>
      <c r="P527" s="186"/>
      <c r="S527" s="187"/>
      <c r="T527" s="187"/>
      <c r="U527" s="187"/>
      <c r="V527" s="187"/>
    </row>
    <row r="528" spans="2:22" s="174" customFormat="1">
      <c r="S528" s="187"/>
      <c r="T528" s="187"/>
      <c r="U528" s="187"/>
      <c r="V528" s="187"/>
    </row>
    <row r="529" spans="2:22" s="174" customFormat="1">
      <c r="S529" s="187"/>
      <c r="T529" s="187"/>
      <c r="U529" s="187"/>
      <c r="V529" s="187"/>
    </row>
    <row r="530" spans="2:22" s="174" customFormat="1">
      <c r="B530" s="185"/>
      <c r="P530" s="186"/>
      <c r="S530" s="187"/>
      <c r="T530" s="187"/>
      <c r="U530" s="187"/>
      <c r="V530" s="187"/>
    </row>
    <row r="531" spans="2:22" s="174" customFormat="1">
      <c r="S531" s="187"/>
      <c r="T531" s="187"/>
      <c r="U531" s="187"/>
      <c r="V531" s="187"/>
    </row>
    <row r="532" spans="2:22" s="174" customFormat="1">
      <c r="S532" s="187"/>
      <c r="T532" s="187"/>
      <c r="U532" s="187"/>
      <c r="V532" s="187"/>
    </row>
    <row r="533" spans="2:22" s="174" customFormat="1">
      <c r="B533" s="185"/>
      <c r="P533" s="186"/>
      <c r="S533" s="187"/>
      <c r="T533" s="187"/>
      <c r="U533" s="187"/>
      <c r="V533" s="187"/>
    </row>
    <row r="534" spans="2:22" s="174" customFormat="1">
      <c r="S534" s="187"/>
      <c r="T534" s="187"/>
      <c r="U534" s="187"/>
      <c r="V534" s="187"/>
    </row>
    <row r="535" spans="2:22" s="174" customFormat="1">
      <c r="S535" s="187"/>
      <c r="T535" s="187"/>
      <c r="U535" s="187"/>
      <c r="V535" s="187"/>
    </row>
    <row r="536" spans="2:22" s="174" customFormat="1">
      <c r="B536" s="185"/>
      <c r="P536" s="186"/>
      <c r="S536" s="187"/>
      <c r="T536" s="187"/>
      <c r="U536" s="187"/>
      <c r="V536" s="187"/>
    </row>
    <row r="537" spans="2:22" s="174" customFormat="1">
      <c r="S537" s="187"/>
      <c r="T537" s="187"/>
      <c r="U537" s="187"/>
      <c r="V537" s="187"/>
    </row>
    <row r="538" spans="2:22" s="174" customFormat="1">
      <c r="S538" s="187"/>
      <c r="T538" s="187"/>
      <c r="U538" s="187"/>
      <c r="V538" s="187"/>
    </row>
    <row r="539" spans="2:22" s="174" customFormat="1">
      <c r="B539" s="185"/>
      <c r="P539" s="186"/>
      <c r="S539" s="187"/>
      <c r="T539" s="187"/>
      <c r="U539" s="187"/>
      <c r="V539" s="187"/>
    </row>
    <row r="540" spans="2:22" s="174" customFormat="1">
      <c r="S540" s="187"/>
      <c r="T540" s="187"/>
      <c r="U540" s="187"/>
      <c r="V540" s="187"/>
    </row>
    <row r="541" spans="2:22" s="174" customFormat="1">
      <c r="S541" s="187"/>
      <c r="T541" s="187"/>
      <c r="U541" s="187"/>
      <c r="V541" s="187"/>
    </row>
    <row r="542" spans="2:22" s="174" customFormat="1">
      <c r="B542" s="185"/>
      <c r="P542" s="186"/>
      <c r="S542" s="187"/>
      <c r="T542" s="187"/>
      <c r="U542" s="187"/>
      <c r="V542" s="187"/>
    </row>
    <row r="543" spans="2:22" s="174" customFormat="1">
      <c r="S543" s="187"/>
      <c r="T543" s="187"/>
      <c r="U543" s="187"/>
      <c r="V543" s="187"/>
    </row>
    <row r="544" spans="2:22" s="174" customFormat="1">
      <c r="S544" s="187"/>
      <c r="T544" s="187"/>
      <c r="U544" s="187"/>
      <c r="V544" s="187"/>
    </row>
    <row r="545" spans="2:22" s="174" customFormat="1">
      <c r="B545" s="185"/>
      <c r="P545" s="186"/>
      <c r="S545" s="187"/>
      <c r="T545" s="187"/>
      <c r="U545" s="187"/>
      <c r="V545" s="187"/>
    </row>
    <row r="546" spans="2:22" s="174" customFormat="1">
      <c r="S546" s="187"/>
      <c r="T546" s="187"/>
      <c r="U546" s="187"/>
      <c r="V546" s="187"/>
    </row>
    <row r="547" spans="2:22" s="174" customFormat="1">
      <c r="S547" s="187"/>
      <c r="T547" s="187"/>
      <c r="U547" s="187"/>
      <c r="V547" s="187"/>
    </row>
    <row r="548" spans="2:22" s="174" customFormat="1">
      <c r="B548" s="185"/>
      <c r="P548" s="186"/>
      <c r="S548" s="187"/>
      <c r="T548" s="187"/>
      <c r="U548" s="187"/>
      <c r="V548" s="187"/>
    </row>
    <row r="549" spans="2:22" s="174" customFormat="1">
      <c r="S549" s="187"/>
      <c r="T549" s="187"/>
      <c r="U549" s="187"/>
      <c r="V549" s="187"/>
    </row>
    <row r="550" spans="2:22" s="174" customFormat="1">
      <c r="S550" s="187"/>
      <c r="T550" s="187"/>
      <c r="U550" s="187"/>
      <c r="V550" s="187"/>
    </row>
    <row r="551" spans="2:22" s="174" customFormat="1">
      <c r="B551" s="185"/>
      <c r="P551" s="186"/>
      <c r="S551" s="187"/>
      <c r="T551" s="187"/>
      <c r="U551" s="187"/>
      <c r="V551" s="187"/>
    </row>
    <row r="552" spans="2:22" s="174" customFormat="1">
      <c r="S552" s="187"/>
      <c r="T552" s="187"/>
      <c r="U552" s="187"/>
      <c r="V552" s="187"/>
    </row>
    <row r="553" spans="2:22" s="174" customFormat="1">
      <c r="S553" s="187"/>
      <c r="T553" s="187"/>
      <c r="U553" s="187"/>
      <c r="V553" s="187"/>
    </row>
    <row r="554" spans="2:22" s="174" customFormat="1">
      <c r="B554" s="185"/>
      <c r="P554" s="186"/>
      <c r="S554" s="187"/>
      <c r="T554" s="187"/>
      <c r="U554" s="187"/>
      <c r="V554" s="187"/>
    </row>
    <row r="555" spans="2:22" s="174" customFormat="1">
      <c r="S555" s="187"/>
      <c r="T555" s="187"/>
      <c r="U555" s="187"/>
      <c r="V555" s="187"/>
    </row>
    <row r="556" spans="2:22" s="174" customFormat="1">
      <c r="S556" s="187"/>
      <c r="T556" s="187"/>
      <c r="U556" s="187"/>
      <c r="V556" s="187"/>
    </row>
    <row r="557" spans="2:22" s="174" customFormat="1">
      <c r="B557" s="185"/>
      <c r="P557" s="186"/>
      <c r="S557" s="187"/>
      <c r="T557" s="187"/>
      <c r="U557" s="187"/>
      <c r="V557" s="187"/>
    </row>
    <row r="558" spans="2:22" s="174" customFormat="1">
      <c r="S558" s="187"/>
      <c r="T558" s="187"/>
      <c r="U558" s="187"/>
      <c r="V558" s="187"/>
    </row>
    <row r="559" spans="2:22" s="174" customFormat="1">
      <c r="S559" s="187"/>
      <c r="T559" s="187"/>
      <c r="U559" s="187"/>
      <c r="V559" s="187"/>
    </row>
    <row r="560" spans="2:22" s="174" customFormat="1">
      <c r="B560" s="185"/>
      <c r="P560" s="186"/>
      <c r="S560" s="187"/>
      <c r="T560" s="187"/>
      <c r="U560" s="187"/>
      <c r="V560" s="187"/>
    </row>
    <row r="561" spans="2:22" s="174" customFormat="1">
      <c r="S561" s="187"/>
      <c r="T561" s="187"/>
      <c r="U561" s="187"/>
      <c r="V561" s="187"/>
    </row>
    <row r="562" spans="2:22" s="174" customFormat="1">
      <c r="S562" s="187"/>
      <c r="T562" s="187"/>
      <c r="U562" s="187"/>
      <c r="V562" s="187"/>
    </row>
    <row r="563" spans="2:22" s="174" customFormat="1">
      <c r="B563" s="185"/>
      <c r="P563" s="186"/>
      <c r="S563" s="187"/>
      <c r="T563" s="187"/>
      <c r="U563" s="187"/>
      <c r="V563" s="187"/>
    </row>
    <row r="564" spans="2:22" s="174" customFormat="1">
      <c r="S564" s="187"/>
      <c r="T564" s="187"/>
      <c r="U564" s="187"/>
      <c r="V564" s="187"/>
    </row>
    <row r="565" spans="2:22" s="174" customFormat="1">
      <c r="S565" s="187"/>
      <c r="T565" s="187"/>
      <c r="U565" s="187"/>
      <c r="V565" s="187"/>
    </row>
    <row r="566" spans="2:22" s="174" customFormat="1">
      <c r="B566" s="185"/>
      <c r="P566" s="186"/>
      <c r="S566" s="187"/>
      <c r="T566" s="187"/>
      <c r="U566" s="187"/>
      <c r="V566" s="187"/>
    </row>
    <row r="567" spans="2:22" s="174" customFormat="1">
      <c r="S567" s="187"/>
      <c r="T567" s="187"/>
      <c r="U567" s="187"/>
      <c r="V567" s="187"/>
    </row>
    <row r="568" spans="2:22" s="174" customFormat="1">
      <c r="S568" s="187"/>
      <c r="T568" s="187"/>
      <c r="U568" s="187"/>
      <c r="V568" s="187"/>
    </row>
    <row r="569" spans="2:22" s="174" customFormat="1">
      <c r="B569" s="185"/>
      <c r="P569" s="186"/>
      <c r="S569" s="187"/>
      <c r="T569" s="187"/>
      <c r="U569" s="187"/>
      <c r="V569" s="187"/>
    </row>
    <row r="570" spans="2:22" s="174" customFormat="1">
      <c r="S570" s="187"/>
      <c r="T570" s="187"/>
      <c r="U570" s="187"/>
      <c r="V570" s="187"/>
    </row>
    <row r="571" spans="2:22" s="174" customFormat="1">
      <c r="S571" s="187"/>
      <c r="T571" s="187"/>
      <c r="U571" s="187"/>
      <c r="V571" s="187"/>
    </row>
    <row r="572" spans="2:22" s="174" customFormat="1">
      <c r="B572" s="185"/>
      <c r="P572" s="186"/>
      <c r="S572" s="187"/>
      <c r="T572" s="187"/>
      <c r="U572" s="187"/>
      <c r="V572" s="187"/>
    </row>
    <row r="573" spans="2:22" s="174" customFormat="1">
      <c r="S573" s="187"/>
      <c r="T573" s="187"/>
      <c r="U573" s="187"/>
      <c r="V573" s="187"/>
    </row>
    <row r="574" spans="2:22" s="174" customFormat="1">
      <c r="S574" s="187"/>
      <c r="T574" s="187"/>
      <c r="U574" s="187"/>
      <c r="V574" s="187"/>
    </row>
    <row r="575" spans="2:22" s="174" customFormat="1">
      <c r="B575" s="185"/>
      <c r="P575" s="186"/>
      <c r="S575" s="187"/>
      <c r="T575" s="187"/>
      <c r="U575" s="187"/>
      <c r="V575" s="187"/>
    </row>
    <row r="576" spans="2:22" s="174" customFormat="1">
      <c r="S576" s="187"/>
      <c r="T576" s="187"/>
      <c r="U576" s="187"/>
      <c r="V576" s="187"/>
    </row>
    <row r="577" spans="2:22" s="174" customFormat="1">
      <c r="S577" s="187"/>
      <c r="T577" s="187"/>
      <c r="U577" s="187"/>
      <c r="V577" s="187"/>
    </row>
    <row r="578" spans="2:22" s="174" customFormat="1">
      <c r="B578" s="185"/>
      <c r="P578" s="186"/>
      <c r="S578" s="187"/>
      <c r="T578" s="187"/>
      <c r="U578" s="187"/>
      <c r="V578" s="187"/>
    </row>
    <row r="579" spans="2:22" s="174" customFormat="1">
      <c r="S579" s="187"/>
      <c r="T579" s="187"/>
      <c r="U579" s="187"/>
      <c r="V579" s="187"/>
    </row>
    <row r="580" spans="2:22" s="174" customFormat="1">
      <c r="S580" s="187"/>
      <c r="T580" s="187"/>
      <c r="U580" s="187"/>
      <c r="V580" s="187"/>
    </row>
    <row r="581" spans="2:22" s="174" customFormat="1">
      <c r="B581" s="185"/>
      <c r="P581" s="186"/>
      <c r="S581" s="187"/>
      <c r="T581" s="187"/>
      <c r="U581" s="187"/>
      <c r="V581" s="187"/>
    </row>
    <row r="582" spans="2:22" s="174" customFormat="1">
      <c r="S582" s="187"/>
      <c r="T582" s="187"/>
      <c r="U582" s="187"/>
      <c r="V582" s="187"/>
    </row>
    <row r="583" spans="2:22" s="174" customFormat="1">
      <c r="S583" s="187"/>
      <c r="T583" s="187"/>
      <c r="U583" s="187"/>
      <c r="V583" s="187"/>
    </row>
    <row r="584" spans="2:22" s="174" customFormat="1">
      <c r="B584" s="185"/>
      <c r="P584" s="186"/>
      <c r="S584" s="187"/>
      <c r="T584" s="187"/>
      <c r="U584" s="187"/>
      <c r="V584" s="187"/>
    </row>
    <row r="585" spans="2:22" s="174" customFormat="1">
      <c r="S585" s="187"/>
      <c r="T585" s="187"/>
      <c r="U585" s="187"/>
      <c r="V585" s="187"/>
    </row>
    <row r="586" spans="2:22" s="174" customFormat="1">
      <c r="S586" s="187"/>
      <c r="T586" s="187"/>
      <c r="U586" s="187"/>
      <c r="V586" s="187"/>
    </row>
    <row r="587" spans="2:22" s="174" customFormat="1">
      <c r="B587" s="185"/>
      <c r="P587" s="186"/>
      <c r="S587" s="187"/>
      <c r="T587" s="187"/>
      <c r="U587" s="187"/>
      <c r="V587" s="187"/>
    </row>
    <row r="588" spans="2:22" s="174" customFormat="1">
      <c r="S588" s="187"/>
      <c r="T588" s="187"/>
      <c r="U588" s="187"/>
      <c r="V588" s="187"/>
    </row>
    <row r="589" spans="2:22" s="174" customFormat="1">
      <c r="S589" s="187"/>
      <c r="T589" s="187"/>
      <c r="U589" s="187"/>
      <c r="V589" s="187"/>
    </row>
    <row r="590" spans="2:22" s="174" customFormat="1">
      <c r="B590" s="185"/>
      <c r="P590" s="186"/>
      <c r="S590" s="187"/>
      <c r="T590" s="187"/>
      <c r="U590" s="187"/>
      <c r="V590" s="187"/>
    </row>
    <row r="591" spans="2:22" s="174" customFormat="1">
      <c r="S591" s="187"/>
      <c r="T591" s="187"/>
      <c r="U591" s="187"/>
      <c r="V591" s="187"/>
    </row>
    <row r="592" spans="2:22" s="174" customFormat="1">
      <c r="S592" s="187"/>
      <c r="T592" s="187"/>
      <c r="U592" s="187"/>
      <c r="V592" s="187"/>
    </row>
    <row r="593" spans="2:22" s="174" customFormat="1">
      <c r="B593" s="185"/>
      <c r="P593" s="186"/>
      <c r="S593" s="187"/>
      <c r="T593" s="187"/>
      <c r="U593" s="187"/>
      <c r="V593" s="187"/>
    </row>
    <row r="594" spans="2:22" s="174" customFormat="1">
      <c r="S594" s="187"/>
      <c r="T594" s="187"/>
      <c r="U594" s="187"/>
      <c r="V594" s="187"/>
    </row>
    <row r="595" spans="2:22" s="174" customFormat="1">
      <c r="S595" s="187"/>
      <c r="T595" s="187"/>
      <c r="U595" s="187"/>
      <c r="V595" s="187"/>
    </row>
    <row r="596" spans="2:22" s="174" customFormat="1">
      <c r="B596" s="185"/>
      <c r="P596" s="186"/>
      <c r="S596" s="187"/>
      <c r="T596" s="187"/>
      <c r="U596" s="187"/>
      <c r="V596" s="187"/>
    </row>
    <row r="597" spans="2:22" s="174" customFormat="1">
      <c r="S597" s="187"/>
      <c r="T597" s="187"/>
      <c r="U597" s="187"/>
      <c r="V597" s="187"/>
    </row>
    <row r="598" spans="2:22" s="174" customFormat="1">
      <c r="S598" s="187"/>
      <c r="T598" s="187"/>
      <c r="U598" s="187"/>
      <c r="V598" s="187"/>
    </row>
    <row r="599" spans="2:22" s="174" customFormat="1">
      <c r="B599" s="185"/>
      <c r="P599" s="186"/>
      <c r="S599" s="187"/>
      <c r="T599" s="187"/>
      <c r="U599" s="187"/>
      <c r="V599" s="187"/>
    </row>
    <row r="600" spans="2:22" s="174" customFormat="1">
      <c r="S600" s="187"/>
      <c r="T600" s="187"/>
      <c r="U600" s="187"/>
      <c r="V600" s="187"/>
    </row>
    <row r="601" spans="2:22" s="174" customFormat="1">
      <c r="S601" s="187"/>
      <c r="T601" s="187"/>
      <c r="U601" s="187"/>
      <c r="V601" s="187"/>
    </row>
    <row r="602" spans="2:22" s="174" customFormat="1">
      <c r="B602" s="185"/>
      <c r="P602" s="186"/>
      <c r="S602" s="187"/>
      <c r="T602" s="187"/>
      <c r="U602" s="187"/>
      <c r="V602" s="187"/>
    </row>
    <row r="603" spans="2:22" s="174" customFormat="1">
      <c r="S603" s="187"/>
      <c r="T603" s="187"/>
      <c r="U603" s="187"/>
      <c r="V603" s="187"/>
    </row>
    <row r="604" spans="2:22" s="174" customFormat="1">
      <c r="S604" s="187"/>
      <c r="T604" s="187"/>
      <c r="U604" s="187"/>
      <c r="V604" s="187"/>
    </row>
    <row r="605" spans="2:22" s="174" customFormat="1">
      <c r="B605" s="185"/>
      <c r="P605" s="186"/>
      <c r="S605" s="187"/>
      <c r="T605" s="187"/>
      <c r="U605" s="187"/>
      <c r="V605" s="187"/>
    </row>
    <row r="606" spans="2:22" s="174" customFormat="1">
      <c r="S606" s="187"/>
      <c r="T606" s="187"/>
      <c r="U606" s="187"/>
      <c r="V606" s="187"/>
    </row>
    <row r="607" spans="2:22" s="174" customFormat="1">
      <c r="S607" s="187"/>
      <c r="T607" s="187"/>
      <c r="U607" s="187"/>
      <c r="V607" s="187"/>
    </row>
    <row r="608" spans="2:22" s="174" customFormat="1">
      <c r="B608" s="185"/>
      <c r="P608" s="186"/>
      <c r="S608" s="187"/>
      <c r="T608" s="187"/>
      <c r="U608" s="187"/>
      <c r="V608" s="187"/>
    </row>
    <row r="609" spans="2:22" s="174" customFormat="1">
      <c r="S609" s="187"/>
      <c r="T609" s="187"/>
      <c r="U609" s="187"/>
      <c r="V609" s="187"/>
    </row>
    <row r="610" spans="2:22" s="174" customFormat="1">
      <c r="S610" s="187"/>
      <c r="T610" s="187"/>
      <c r="U610" s="187"/>
      <c r="V610" s="187"/>
    </row>
    <row r="611" spans="2:22" s="174" customFormat="1">
      <c r="B611" s="185"/>
      <c r="P611" s="186"/>
      <c r="S611" s="187"/>
      <c r="T611" s="187"/>
      <c r="U611" s="187"/>
      <c r="V611" s="187"/>
    </row>
    <row r="612" spans="2:22" s="174" customFormat="1">
      <c r="S612" s="187"/>
      <c r="T612" s="187"/>
      <c r="U612" s="187"/>
      <c r="V612" s="187"/>
    </row>
    <row r="613" spans="2:22" s="174" customFormat="1">
      <c r="S613" s="187"/>
      <c r="T613" s="187"/>
      <c r="U613" s="187"/>
      <c r="V613" s="187"/>
    </row>
    <row r="614" spans="2:22" s="174" customFormat="1">
      <c r="B614" s="185"/>
      <c r="P614" s="186"/>
      <c r="S614" s="187"/>
      <c r="T614" s="187"/>
      <c r="U614" s="187"/>
      <c r="V614" s="187"/>
    </row>
    <row r="615" spans="2:22" s="174" customFormat="1">
      <c r="S615" s="187"/>
      <c r="T615" s="187"/>
      <c r="U615" s="187"/>
      <c r="V615" s="187"/>
    </row>
    <row r="616" spans="2:22" s="174" customFormat="1">
      <c r="S616" s="187"/>
      <c r="T616" s="187"/>
      <c r="U616" s="187"/>
      <c r="V616" s="187"/>
    </row>
    <row r="617" spans="2:22" s="174" customFormat="1">
      <c r="B617" s="185"/>
      <c r="P617" s="186"/>
      <c r="S617" s="187"/>
      <c r="T617" s="187"/>
      <c r="U617" s="187"/>
      <c r="V617" s="187"/>
    </row>
    <row r="618" spans="2:22" s="174" customFormat="1"/>
    <row r="619" spans="2:22" s="174" customFormat="1"/>
    <row r="620" spans="2:22" s="174" customFormat="1"/>
    <row r="621" spans="2:22" s="174" customFormat="1"/>
    <row r="622" spans="2:22" s="174" customFormat="1"/>
    <row r="623" spans="2:22" s="174" customFormat="1"/>
    <row r="624" spans="2:22" s="174" customFormat="1"/>
    <row r="625" s="174" customFormat="1"/>
    <row r="626" s="174" customFormat="1"/>
    <row r="627" s="174" customFormat="1"/>
    <row r="628" s="174" customFormat="1"/>
    <row r="629" s="174" customFormat="1"/>
    <row r="630" s="174" customFormat="1"/>
    <row r="631" s="174" customFormat="1"/>
    <row r="632" s="174" customFormat="1"/>
    <row r="633" s="174" customFormat="1"/>
    <row r="634" s="174" customFormat="1"/>
    <row r="635" s="174" customFormat="1"/>
    <row r="636" s="174" customFormat="1"/>
    <row r="637" s="174" customFormat="1"/>
    <row r="638" s="174" customFormat="1"/>
    <row r="639" s="174" customFormat="1"/>
    <row r="640" s="174" customFormat="1"/>
    <row r="641" s="174" customFormat="1"/>
    <row r="642" s="174" customFormat="1"/>
    <row r="643" s="174" customFormat="1"/>
    <row r="644" s="174" customFormat="1"/>
    <row r="645" s="174" customFormat="1"/>
    <row r="646" s="174" customFormat="1"/>
    <row r="647" s="174" customFormat="1"/>
    <row r="648" s="174" customFormat="1"/>
    <row r="649" s="174" customFormat="1"/>
    <row r="650" s="174" customFormat="1"/>
    <row r="651" s="174" customFormat="1"/>
    <row r="652" s="174" customFormat="1"/>
    <row r="653" s="174" customFormat="1"/>
    <row r="654" s="174" customFormat="1"/>
    <row r="655" s="174" customFormat="1"/>
    <row r="656" s="174" customFormat="1"/>
    <row r="657" s="174" customFormat="1"/>
    <row r="658" s="174" customFormat="1"/>
    <row r="659" s="174" customFormat="1"/>
    <row r="660" s="174" customFormat="1"/>
    <row r="661" s="174" customFormat="1"/>
    <row r="662" s="174" customFormat="1"/>
    <row r="663" s="174" customFormat="1"/>
    <row r="664" s="174" customFormat="1"/>
    <row r="665" s="174" customFormat="1"/>
    <row r="666" s="174" customFormat="1"/>
    <row r="667" s="174" customFormat="1"/>
    <row r="668" s="174" customFormat="1"/>
    <row r="669" s="174" customFormat="1"/>
    <row r="670" s="174" customFormat="1"/>
    <row r="671" s="174" customFormat="1"/>
    <row r="672" s="174" customFormat="1"/>
    <row r="673" s="174" customFormat="1"/>
    <row r="674" s="174" customFormat="1"/>
    <row r="675" s="174" customFormat="1"/>
    <row r="676" s="174" customFormat="1"/>
    <row r="677" s="174" customFormat="1"/>
    <row r="678" s="174" customFormat="1"/>
    <row r="679" s="174" customFormat="1"/>
    <row r="680" s="174" customFormat="1"/>
    <row r="681" s="174" customFormat="1"/>
    <row r="682" s="174" customFormat="1"/>
    <row r="683" s="174" customFormat="1"/>
    <row r="684" s="174" customFormat="1"/>
    <row r="685" s="174" customFormat="1"/>
    <row r="686" s="174" customFormat="1"/>
    <row r="687" s="174" customFormat="1"/>
    <row r="688" s="174" customFormat="1"/>
    <row r="689" s="174" customFormat="1"/>
    <row r="690" s="174" customFormat="1"/>
    <row r="691" s="174" customFormat="1"/>
    <row r="692" s="174" customFormat="1"/>
    <row r="693" s="174" customFormat="1"/>
    <row r="694" s="174" customFormat="1"/>
    <row r="695" s="174" customFormat="1"/>
    <row r="696" s="174" customFormat="1"/>
    <row r="697" s="174" customFormat="1"/>
    <row r="698" s="174" customFormat="1"/>
    <row r="699" s="174" customFormat="1"/>
    <row r="700" s="174" customFormat="1"/>
    <row r="701" s="174" customFormat="1"/>
    <row r="702" s="174" customFormat="1"/>
    <row r="703" s="174" customFormat="1"/>
    <row r="704" s="174" customFormat="1"/>
    <row r="705" s="174" customFormat="1"/>
    <row r="706" s="174" customFormat="1"/>
    <row r="707" s="174" customFormat="1"/>
    <row r="708" s="174" customFormat="1"/>
    <row r="709" s="174" customFormat="1"/>
    <row r="710" s="174" customFormat="1"/>
    <row r="711" s="174" customFormat="1"/>
    <row r="712" s="174" customFormat="1"/>
    <row r="713" s="174" customFormat="1"/>
    <row r="714" s="174" customFormat="1"/>
    <row r="715" s="174" customFormat="1"/>
    <row r="716" s="174" customFormat="1"/>
    <row r="717" s="174" customFormat="1"/>
    <row r="718" s="174" customFormat="1"/>
    <row r="719" s="174" customFormat="1"/>
    <row r="720" s="174" customFormat="1"/>
    <row r="721" s="174" customFormat="1"/>
    <row r="722" s="174" customFormat="1"/>
    <row r="723" s="174" customFormat="1"/>
    <row r="724" s="174" customFormat="1"/>
    <row r="725" s="174" customFormat="1"/>
    <row r="726" s="174" customFormat="1"/>
    <row r="727" s="174" customFormat="1"/>
    <row r="728" s="174" customFormat="1"/>
    <row r="729" s="174" customFormat="1"/>
    <row r="730" s="174" customFormat="1"/>
    <row r="731" s="174" customFormat="1"/>
    <row r="732" s="174" customFormat="1"/>
    <row r="733" s="174" customFormat="1"/>
    <row r="734" s="174" customFormat="1"/>
    <row r="735" s="174" customFormat="1"/>
    <row r="736" s="174" customFormat="1"/>
    <row r="737" s="174" customFormat="1"/>
    <row r="738" s="174" customFormat="1"/>
    <row r="739" s="174" customFormat="1"/>
    <row r="740" s="174" customFormat="1"/>
    <row r="741" s="174" customFormat="1"/>
    <row r="742" s="174" customFormat="1"/>
    <row r="743" s="174" customFormat="1"/>
    <row r="744" s="174" customFormat="1"/>
    <row r="745" s="174" customFormat="1"/>
    <row r="746" s="174" customFormat="1"/>
    <row r="747" s="174" customFormat="1"/>
    <row r="748" s="174" customFormat="1"/>
    <row r="749" s="174" customFormat="1"/>
    <row r="750" s="174" customFormat="1"/>
    <row r="751" s="174" customFormat="1"/>
    <row r="752" s="174" customFormat="1"/>
    <row r="753" s="174" customFormat="1"/>
    <row r="754" s="174" customFormat="1"/>
    <row r="755" s="174" customFormat="1"/>
    <row r="756" s="174" customFormat="1"/>
    <row r="757" s="174" customFormat="1"/>
    <row r="758" s="174" customFormat="1"/>
    <row r="759" s="174" customFormat="1"/>
    <row r="760" s="174" customFormat="1"/>
    <row r="761" s="174" customFormat="1"/>
    <row r="762" s="174" customFormat="1"/>
    <row r="763" s="174" customFormat="1"/>
    <row r="764" s="174" customFormat="1"/>
    <row r="765" s="174" customFormat="1"/>
    <row r="766" s="174" customFormat="1"/>
    <row r="767" s="174" customFormat="1"/>
    <row r="768" s="174" customFormat="1"/>
    <row r="769" s="174" customFormat="1"/>
    <row r="770" s="174" customFormat="1"/>
    <row r="771" s="174" customFormat="1"/>
    <row r="772" s="174" customFormat="1"/>
    <row r="773" s="174" customFormat="1"/>
    <row r="774" s="174" customFormat="1"/>
    <row r="775" s="174" customFormat="1"/>
    <row r="776" s="174" customFormat="1"/>
    <row r="777" s="174" customFormat="1"/>
    <row r="778" s="174" customFormat="1"/>
    <row r="779" s="174" customFormat="1"/>
    <row r="780" s="174" customFormat="1"/>
    <row r="781" s="174" customFormat="1"/>
    <row r="782" s="174" customFormat="1"/>
    <row r="783" s="174" customFormat="1"/>
    <row r="784" s="174" customFormat="1"/>
    <row r="785" s="174" customFormat="1"/>
    <row r="786" s="174" customFormat="1"/>
    <row r="787" s="174" customFormat="1"/>
    <row r="788" s="174" customFormat="1"/>
    <row r="789" s="174" customFormat="1"/>
    <row r="790" s="174" customFormat="1"/>
    <row r="791" s="174" customFormat="1"/>
    <row r="792" s="174" customFormat="1"/>
    <row r="793" s="174" customFormat="1"/>
    <row r="794" s="174" customFormat="1"/>
    <row r="795" s="174" customFormat="1"/>
    <row r="796" s="174" customFormat="1"/>
    <row r="797" s="174" customFormat="1"/>
    <row r="798" s="174" customFormat="1"/>
    <row r="799" s="174" customFormat="1"/>
    <row r="800" s="174" customFormat="1"/>
    <row r="801" s="174" customFormat="1"/>
    <row r="802" s="174" customFormat="1"/>
    <row r="803" s="174" customFormat="1"/>
    <row r="804" s="174" customFormat="1"/>
    <row r="805" s="174" customFormat="1"/>
    <row r="806" s="174" customFormat="1"/>
    <row r="807" s="174" customFormat="1"/>
    <row r="808" s="174" customFormat="1"/>
    <row r="809" s="174" customFormat="1"/>
    <row r="810" s="174" customFormat="1"/>
    <row r="811" s="174" customFormat="1"/>
    <row r="812" s="174" customFormat="1"/>
    <row r="813" s="174" customFormat="1"/>
    <row r="814" s="174" customFormat="1"/>
    <row r="815" s="174" customFormat="1"/>
    <row r="816" s="174" customFormat="1"/>
    <row r="817" s="174" customFormat="1"/>
    <row r="818" s="174" customFormat="1"/>
    <row r="819" s="174" customFormat="1"/>
    <row r="820" s="174" customFormat="1"/>
    <row r="821" s="174" customFormat="1"/>
    <row r="822" s="174" customFormat="1"/>
    <row r="823" s="174" customFormat="1"/>
    <row r="824" s="174" customFormat="1"/>
    <row r="825" s="174" customFormat="1"/>
    <row r="826" s="174" customFormat="1"/>
    <row r="827" s="174" customFormat="1"/>
    <row r="828" s="174" customFormat="1"/>
    <row r="829" s="174" customFormat="1"/>
    <row r="830" s="174" customFormat="1"/>
    <row r="831" s="174" customFormat="1"/>
    <row r="832" s="174" customFormat="1"/>
    <row r="833" s="174" customFormat="1"/>
    <row r="834" s="174" customFormat="1"/>
    <row r="835" s="174" customFormat="1"/>
    <row r="836" s="174" customFormat="1"/>
    <row r="837" s="174" customFormat="1"/>
    <row r="838" s="174" customFormat="1"/>
    <row r="839" s="174" customFormat="1"/>
    <row r="840" s="174" customFormat="1"/>
    <row r="841" s="174" customFormat="1"/>
    <row r="842" s="174" customFormat="1"/>
    <row r="843" s="174" customFormat="1"/>
    <row r="844" s="174" customFormat="1"/>
    <row r="845" s="174" customFormat="1"/>
    <row r="846" s="174" customFormat="1"/>
    <row r="847" s="174" customFormat="1"/>
    <row r="848" s="174" customFormat="1"/>
    <row r="849" s="174" customFormat="1"/>
    <row r="850" s="174" customFormat="1"/>
    <row r="851" s="174" customFormat="1"/>
    <row r="852" s="174" customFormat="1"/>
    <row r="853" s="174" customFormat="1"/>
    <row r="854" s="174" customFormat="1"/>
    <row r="855" s="174" customFormat="1"/>
    <row r="856" s="174" customFormat="1"/>
    <row r="857" s="174" customFormat="1"/>
    <row r="858" s="174" customFormat="1"/>
    <row r="859" s="174" customFormat="1"/>
    <row r="860" s="174" customFormat="1"/>
    <row r="861" s="174" customFormat="1"/>
    <row r="862" s="174" customFormat="1"/>
    <row r="863" s="174" customFormat="1"/>
    <row r="864" s="174" customFormat="1"/>
    <row r="865" s="174" customFormat="1"/>
    <row r="866" s="174" customFormat="1"/>
    <row r="867" s="174" customFormat="1"/>
    <row r="868" s="174" customFormat="1"/>
    <row r="869" s="174" customFormat="1"/>
    <row r="870" s="174" customFormat="1"/>
    <row r="871" s="174" customFormat="1"/>
    <row r="872" s="174" customFormat="1"/>
    <row r="873" s="174" customFormat="1"/>
    <row r="874" s="174" customFormat="1"/>
    <row r="875" s="174" customFormat="1"/>
    <row r="876" s="174" customFormat="1"/>
    <row r="877" s="174" customFormat="1"/>
    <row r="878" s="174" customFormat="1"/>
    <row r="879" s="174" customFormat="1"/>
    <row r="880" s="174" customFormat="1"/>
    <row r="881" s="174" customFormat="1"/>
    <row r="882" s="174" customForma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1AF9-60DF-43DB-92D7-EF8449039E21}">
  <sheetPr>
    <tabColor rgb="FFFFFF00"/>
  </sheetPr>
  <dimension ref="A2:Z882"/>
  <sheetViews>
    <sheetView workbookViewId="0">
      <selection sqref="A1:XFD1048576"/>
    </sheetView>
  </sheetViews>
  <sheetFormatPr defaultColWidth="8.84375" defaultRowHeight="14.5"/>
  <cols>
    <col min="1" max="1" width="5.4609375" style="154" customWidth="1"/>
    <col min="2" max="2" width="20.84375" style="154" customWidth="1"/>
    <col min="3" max="10" width="7.23046875" style="154" customWidth="1"/>
    <col min="11" max="11" width="7.84375" style="154" customWidth="1"/>
    <col min="12" max="15" width="8.69140625" style="154" customWidth="1"/>
    <col min="16" max="16" width="7.84375" style="154" customWidth="1"/>
    <col min="17" max="18" width="8.69140625" style="154" customWidth="1"/>
    <col min="19" max="19" width="7.84375" style="154" customWidth="1"/>
    <col min="20" max="22" width="8.69140625" style="154" customWidth="1"/>
    <col min="23" max="23" width="7.84375" style="154" customWidth="1"/>
    <col min="24" max="25" width="8.69140625" style="154" customWidth="1"/>
    <col min="26" max="26" width="7.84375" style="154" customWidth="1"/>
    <col min="27" max="16384" width="8.84375" style="154"/>
  </cols>
  <sheetData>
    <row r="2" spans="1:26">
      <c r="S2" s="155"/>
      <c r="T2" s="155"/>
    </row>
    <row r="3" spans="1:26">
      <c r="A3" s="156"/>
      <c r="B3" s="157"/>
      <c r="C3" s="147"/>
      <c r="D3" s="150"/>
      <c r="E3" s="150"/>
      <c r="F3" s="150"/>
      <c r="G3" s="150"/>
      <c r="H3" s="150"/>
      <c r="I3" s="150"/>
      <c r="J3" s="149"/>
      <c r="K3" s="150"/>
      <c r="L3" s="150"/>
      <c r="M3" s="150"/>
      <c r="N3" s="150"/>
      <c r="O3" s="149"/>
      <c r="P3" s="150"/>
      <c r="Q3" s="150"/>
      <c r="R3" s="149"/>
      <c r="S3" s="158"/>
      <c r="T3" s="159"/>
      <c r="U3" s="159"/>
      <c r="V3" s="159"/>
      <c r="W3" s="159"/>
      <c r="X3" s="159"/>
      <c r="Y3" s="159"/>
      <c r="Z3" s="159"/>
    </row>
    <row r="4" spans="1:26">
      <c r="A4" s="156"/>
      <c r="B4" s="157"/>
      <c r="C4" s="147"/>
      <c r="D4" s="148"/>
      <c r="E4" s="148"/>
      <c r="F4" s="148"/>
      <c r="G4" s="148"/>
      <c r="H4" s="148"/>
      <c r="I4" s="148"/>
      <c r="J4" s="152"/>
      <c r="K4" s="147"/>
      <c r="L4" s="160"/>
      <c r="M4" s="148"/>
      <c r="N4" s="148"/>
      <c r="O4" s="152"/>
      <c r="P4" s="147"/>
      <c r="Q4" s="160"/>
      <c r="R4" s="152"/>
      <c r="S4" s="161"/>
      <c r="T4" s="159"/>
      <c r="U4" s="159"/>
      <c r="V4" s="159"/>
      <c r="W4" s="159"/>
      <c r="X4" s="159"/>
      <c r="Y4" s="159"/>
      <c r="Z4" s="159"/>
    </row>
    <row r="5" spans="1:26">
      <c r="A5" s="162"/>
      <c r="B5" s="163"/>
      <c r="C5" s="156"/>
      <c r="D5" s="164"/>
      <c r="E5" s="164"/>
      <c r="F5" s="164"/>
      <c r="G5" s="164"/>
      <c r="H5" s="164"/>
      <c r="I5" s="164"/>
      <c r="J5" s="164"/>
      <c r="K5" s="153"/>
      <c r="L5" s="165"/>
      <c r="M5" s="166"/>
      <c r="N5" s="166"/>
      <c r="O5" s="166"/>
      <c r="P5" s="167"/>
      <c r="Q5" s="165"/>
      <c r="R5" s="166"/>
      <c r="S5" s="168"/>
      <c r="T5" s="159"/>
      <c r="U5" s="159"/>
      <c r="V5" s="159"/>
      <c r="W5" s="159"/>
      <c r="X5" s="159"/>
      <c r="Y5" s="159"/>
      <c r="Z5" s="159"/>
    </row>
    <row r="6" spans="1:26" s="174" customFormat="1">
      <c r="A6" s="169"/>
      <c r="B6" s="170"/>
      <c r="C6" s="170"/>
      <c r="D6" s="170"/>
      <c r="E6" s="170"/>
      <c r="F6" s="170"/>
      <c r="G6" s="170"/>
      <c r="H6" s="170"/>
      <c r="I6" s="170"/>
      <c r="J6" s="170"/>
      <c r="K6" s="171"/>
      <c r="L6" s="172"/>
      <c r="M6" s="170"/>
      <c r="N6" s="170"/>
      <c r="O6" s="170"/>
      <c r="P6" s="171"/>
      <c r="Q6" s="172"/>
      <c r="R6" s="170"/>
      <c r="S6" s="173"/>
      <c r="T6" s="159"/>
      <c r="U6" s="159"/>
      <c r="V6" s="159"/>
      <c r="W6" s="159"/>
      <c r="X6" s="159"/>
      <c r="Y6" s="159"/>
      <c r="Z6" s="159"/>
    </row>
    <row r="7" spans="1:26" s="174" customFormat="1">
      <c r="A7" s="175"/>
      <c r="B7" s="176"/>
      <c r="C7" s="176"/>
      <c r="D7" s="176"/>
      <c r="E7" s="176"/>
      <c r="F7" s="176"/>
      <c r="G7" s="176"/>
      <c r="H7" s="176"/>
      <c r="I7" s="176"/>
      <c r="J7" s="176"/>
      <c r="K7" s="177"/>
      <c r="L7" s="178"/>
      <c r="M7" s="176"/>
      <c r="N7" s="176"/>
      <c r="O7" s="176"/>
      <c r="P7" s="177"/>
      <c r="Q7" s="178"/>
      <c r="R7" s="176"/>
      <c r="S7" s="179"/>
      <c r="T7" s="159"/>
      <c r="U7" s="159"/>
      <c r="V7" s="159"/>
      <c r="W7" s="159"/>
      <c r="X7" s="159"/>
      <c r="Y7" s="159"/>
      <c r="Z7" s="159"/>
    </row>
    <row r="8" spans="1:26" s="174" customFormat="1">
      <c r="A8" s="175"/>
      <c r="B8" s="170"/>
      <c r="C8" s="170"/>
      <c r="D8" s="170"/>
      <c r="E8" s="170"/>
      <c r="F8" s="170"/>
      <c r="G8" s="170"/>
      <c r="H8" s="170"/>
      <c r="I8" s="170"/>
      <c r="J8" s="170"/>
      <c r="K8" s="171"/>
      <c r="L8" s="172"/>
      <c r="M8" s="170"/>
      <c r="N8" s="170"/>
      <c r="O8" s="170"/>
      <c r="P8" s="171"/>
      <c r="Q8" s="172"/>
      <c r="R8" s="170"/>
      <c r="S8" s="173"/>
      <c r="T8" s="159"/>
      <c r="U8" s="159"/>
      <c r="V8" s="159"/>
      <c r="W8" s="159"/>
      <c r="X8" s="159"/>
      <c r="Y8" s="159"/>
      <c r="Z8" s="159"/>
    </row>
    <row r="9" spans="1:26" s="174" customFormat="1">
      <c r="A9" s="175"/>
      <c r="B9" s="176"/>
      <c r="C9" s="176"/>
      <c r="D9" s="176"/>
      <c r="E9" s="176"/>
      <c r="F9" s="176"/>
      <c r="G9" s="176"/>
      <c r="H9" s="176"/>
      <c r="I9" s="176"/>
      <c r="J9" s="176"/>
      <c r="K9" s="177"/>
      <c r="L9" s="178"/>
      <c r="M9" s="176"/>
      <c r="N9" s="176"/>
      <c r="O9" s="176"/>
      <c r="P9" s="177"/>
      <c r="Q9" s="178"/>
      <c r="R9" s="176"/>
      <c r="S9" s="179"/>
      <c r="T9" s="159"/>
      <c r="U9" s="159"/>
      <c r="V9" s="159"/>
      <c r="W9" s="159"/>
      <c r="X9" s="159"/>
      <c r="Y9" s="159"/>
      <c r="Z9" s="159"/>
    </row>
    <row r="10" spans="1:26" s="174" customFormat="1">
      <c r="A10" s="175"/>
      <c r="B10" s="170"/>
      <c r="C10" s="170"/>
      <c r="D10" s="170"/>
      <c r="E10" s="170"/>
      <c r="F10" s="170"/>
      <c r="G10" s="170"/>
      <c r="H10" s="170"/>
      <c r="I10" s="170"/>
      <c r="J10" s="170"/>
      <c r="K10" s="171"/>
      <c r="L10" s="172"/>
      <c r="M10" s="170"/>
      <c r="N10" s="170"/>
      <c r="O10" s="170"/>
      <c r="P10" s="171"/>
      <c r="Q10" s="172"/>
      <c r="R10" s="170"/>
      <c r="S10" s="173"/>
      <c r="T10" s="159"/>
      <c r="U10" s="159"/>
      <c r="V10" s="159"/>
      <c r="W10" s="159"/>
      <c r="X10" s="159"/>
      <c r="Y10" s="159"/>
      <c r="Z10" s="159"/>
    </row>
    <row r="11" spans="1:26" s="174" customFormat="1">
      <c r="A11" s="175"/>
      <c r="B11" s="176"/>
      <c r="C11" s="176"/>
      <c r="D11" s="176"/>
      <c r="E11" s="176"/>
      <c r="F11" s="176"/>
      <c r="G11" s="176"/>
      <c r="H11" s="176"/>
      <c r="I11" s="176"/>
      <c r="J11" s="176"/>
      <c r="K11" s="177"/>
      <c r="L11" s="178"/>
      <c r="M11" s="176"/>
      <c r="N11" s="176"/>
      <c r="O11" s="176"/>
      <c r="P11" s="177"/>
      <c r="Q11" s="178"/>
      <c r="R11" s="176"/>
      <c r="S11" s="179"/>
      <c r="T11" s="159"/>
      <c r="U11" s="159"/>
      <c r="V11" s="159"/>
      <c r="W11" s="159"/>
      <c r="X11" s="159"/>
      <c r="Y11" s="159"/>
      <c r="Z11" s="159"/>
    </row>
    <row r="12" spans="1:26" s="174" customFormat="1">
      <c r="A12" s="175"/>
      <c r="B12" s="170"/>
      <c r="C12" s="170"/>
      <c r="D12" s="170"/>
      <c r="E12" s="170"/>
      <c r="F12" s="170"/>
      <c r="G12" s="170"/>
      <c r="H12" s="170"/>
      <c r="I12" s="170"/>
      <c r="J12" s="170"/>
      <c r="K12" s="171"/>
      <c r="L12" s="172"/>
      <c r="M12" s="170"/>
      <c r="N12" s="170"/>
      <c r="O12" s="170"/>
      <c r="P12" s="171"/>
      <c r="Q12" s="172"/>
      <c r="R12" s="170"/>
      <c r="S12" s="173"/>
      <c r="T12" s="159"/>
      <c r="U12" s="159"/>
      <c r="V12" s="159"/>
      <c r="W12" s="159"/>
      <c r="X12" s="159"/>
      <c r="Y12" s="159"/>
      <c r="Z12" s="159"/>
    </row>
    <row r="13" spans="1:26" s="174" customFormat="1">
      <c r="A13" s="180"/>
      <c r="B13" s="176"/>
      <c r="C13" s="176"/>
      <c r="D13" s="176"/>
      <c r="E13" s="176"/>
      <c r="F13" s="176"/>
      <c r="G13" s="176"/>
      <c r="H13" s="176"/>
      <c r="I13" s="176"/>
      <c r="J13" s="176"/>
      <c r="K13" s="177"/>
      <c r="L13" s="178"/>
      <c r="M13" s="176"/>
      <c r="N13" s="176"/>
      <c r="O13" s="176"/>
      <c r="P13" s="177"/>
      <c r="Q13" s="178"/>
      <c r="R13" s="176"/>
      <c r="S13" s="179"/>
      <c r="T13" s="159"/>
      <c r="U13" s="159"/>
      <c r="V13" s="159"/>
      <c r="W13" s="159"/>
      <c r="X13" s="159"/>
      <c r="Y13" s="159"/>
      <c r="Z13" s="159"/>
    </row>
    <row r="14" spans="1:26" s="174" customFormat="1">
      <c r="A14" s="169"/>
      <c r="B14" s="170"/>
      <c r="C14" s="170"/>
      <c r="D14" s="170"/>
      <c r="E14" s="170"/>
      <c r="F14" s="170"/>
      <c r="G14" s="170"/>
      <c r="H14" s="170"/>
      <c r="I14" s="170"/>
      <c r="J14" s="170"/>
      <c r="K14" s="172"/>
      <c r="L14" s="170"/>
      <c r="M14" s="170"/>
      <c r="N14" s="170"/>
      <c r="O14" s="170"/>
      <c r="P14" s="172"/>
      <c r="Q14" s="170"/>
      <c r="R14" s="181"/>
      <c r="S14" s="173"/>
      <c r="T14" s="159"/>
      <c r="U14" s="159"/>
      <c r="V14" s="159"/>
      <c r="W14" s="159"/>
      <c r="X14" s="159"/>
      <c r="Y14" s="159"/>
      <c r="Z14" s="159"/>
    </row>
    <row r="15" spans="1:26" s="174" customFormat="1">
      <c r="A15" s="175"/>
      <c r="B15" s="176"/>
      <c r="C15" s="176"/>
      <c r="D15" s="176"/>
      <c r="E15" s="176"/>
      <c r="F15" s="176"/>
      <c r="G15" s="176"/>
      <c r="H15" s="176"/>
      <c r="I15" s="176"/>
      <c r="J15" s="176"/>
      <c r="K15" s="178"/>
      <c r="L15" s="176"/>
      <c r="M15" s="176"/>
      <c r="N15" s="176"/>
      <c r="O15" s="176"/>
      <c r="P15" s="178"/>
      <c r="Q15" s="176"/>
      <c r="R15" s="182"/>
      <c r="S15" s="179"/>
      <c r="T15" s="159"/>
      <c r="U15" s="159"/>
      <c r="V15" s="159"/>
      <c r="W15" s="159"/>
      <c r="X15" s="159"/>
      <c r="Y15" s="159"/>
      <c r="Z15" s="159"/>
    </row>
    <row r="16" spans="1:26" s="174" customFormat="1">
      <c r="A16" s="175"/>
      <c r="B16" s="170"/>
      <c r="C16" s="170"/>
      <c r="D16" s="170"/>
      <c r="E16" s="170"/>
      <c r="F16" s="170"/>
      <c r="G16" s="170"/>
      <c r="H16" s="170"/>
      <c r="I16" s="170"/>
      <c r="J16" s="170"/>
      <c r="K16" s="183"/>
      <c r="L16" s="170"/>
      <c r="M16" s="170"/>
      <c r="N16" s="170"/>
      <c r="O16" s="170"/>
      <c r="P16" s="183"/>
      <c r="Q16" s="170"/>
      <c r="R16" s="181"/>
      <c r="S16" s="173"/>
      <c r="T16" s="159"/>
      <c r="U16" s="159"/>
      <c r="V16" s="159"/>
      <c r="W16" s="159"/>
      <c r="X16" s="159"/>
      <c r="Y16" s="159"/>
      <c r="Z16" s="159"/>
    </row>
    <row r="17" spans="1:26" s="174" customFormat="1">
      <c r="A17" s="175"/>
      <c r="B17" s="176"/>
      <c r="C17" s="176"/>
      <c r="D17" s="176"/>
      <c r="E17" s="176"/>
      <c r="F17" s="176"/>
      <c r="G17" s="176"/>
      <c r="H17" s="176"/>
      <c r="I17" s="176"/>
      <c r="J17" s="176"/>
      <c r="K17" s="184"/>
      <c r="L17" s="176"/>
      <c r="M17" s="176"/>
      <c r="N17" s="176"/>
      <c r="O17" s="176"/>
      <c r="P17" s="184"/>
      <c r="Q17" s="176"/>
      <c r="R17" s="182"/>
      <c r="S17" s="179"/>
      <c r="T17" s="159"/>
      <c r="U17" s="159"/>
      <c r="V17" s="159"/>
      <c r="W17" s="159"/>
      <c r="X17" s="159"/>
      <c r="Y17" s="159"/>
      <c r="Z17" s="159"/>
    </row>
    <row r="18" spans="1:26" s="174" customFormat="1">
      <c r="A18" s="175"/>
      <c r="B18" s="170"/>
      <c r="C18" s="170"/>
      <c r="D18" s="170"/>
      <c r="E18" s="170"/>
      <c r="F18" s="170"/>
      <c r="G18" s="170"/>
      <c r="H18" s="170"/>
      <c r="I18" s="170"/>
      <c r="J18" s="170"/>
      <c r="K18" s="172"/>
      <c r="L18" s="170"/>
      <c r="M18" s="170"/>
      <c r="N18" s="170"/>
      <c r="O18" s="170"/>
      <c r="P18" s="172"/>
      <c r="Q18" s="170"/>
      <c r="R18" s="181"/>
      <c r="S18" s="173"/>
      <c r="T18" s="159"/>
      <c r="U18" s="159"/>
      <c r="V18" s="159"/>
      <c r="W18" s="159"/>
      <c r="X18" s="159"/>
      <c r="Y18" s="159"/>
      <c r="Z18" s="159"/>
    </row>
    <row r="19" spans="1:26" s="174" customFormat="1">
      <c r="A19" s="175"/>
      <c r="B19" s="176"/>
      <c r="C19" s="176"/>
      <c r="D19" s="176"/>
      <c r="E19" s="176"/>
      <c r="F19" s="176"/>
      <c r="G19" s="176"/>
      <c r="H19" s="176"/>
      <c r="I19" s="176"/>
      <c r="J19" s="176"/>
      <c r="K19" s="178"/>
      <c r="L19" s="176"/>
      <c r="M19" s="176"/>
      <c r="N19" s="176"/>
      <c r="O19" s="176"/>
      <c r="P19" s="178"/>
      <c r="Q19" s="176"/>
      <c r="R19" s="182"/>
      <c r="S19" s="179"/>
      <c r="T19" s="159"/>
      <c r="U19" s="159"/>
      <c r="V19" s="159"/>
      <c r="W19" s="159"/>
      <c r="X19" s="159"/>
      <c r="Y19" s="159"/>
      <c r="Z19" s="159"/>
    </row>
    <row r="20" spans="1:26" s="174" customFormat="1">
      <c r="A20" s="175"/>
      <c r="B20" s="170"/>
      <c r="C20" s="170"/>
      <c r="D20" s="170"/>
      <c r="E20" s="170"/>
      <c r="F20" s="170"/>
      <c r="G20" s="170"/>
      <c r="H20" s="170"/>
      <c r="I20" s="170"/>
      <c r="J20" s="170"/>
      <c r="K20" s="172"/>
      <c r="L20" s="170"/>
      <c r="M20" s="170"/>
      <c r="N20" s="170"/>
      <c r="O20" s="170"/>
      <c r="P20" s="172"/>
      <c r="Q20" s="170"/>
      <c r="R20" s="181"/>
      <c r="S20" s="173"/>
      <c r="T20" s="159"/>
      <c r="U20" s="159"/>
      <c r="V20" s="159"/>
      <c r="W20" s="159"/>
      <c r="X20" s="159"/>
      <c r="Y20" s="159"/>
      <c r="Z20" s="159"/>
    </row>
    <row r="21" spans="1:26" s="174" customFormat="1">
      <c r="A21" s="180"/>
      <c r="B21" s="176"/>
      <c r="C21" s="176"/>
      <c r="D21" s="176"/>
      <c r="E21" s="176"/>
      <c r="F21" s="176"/>
      <c r="G21" s="176"/>
      <c r="H21" s="176"/>
      <c r="I21" s="176"/>
      <c r="J21" s="176"/>
      <c r="K21" s="178"/>
      <c r="L21" s="176"/>
      <c r="M21" s="176"/>
      <c r="N21" s="176"/>
      <c r="O21" s="176"/>
      <c r="P21" s="178"/>
      <c r="Q21" s="176"/>
      <c r="R21" s="182"/>
      <c r="S21" s="179"/>
      <c r="T21" s="159"/>
      <c r="U21" s="159"/>
      <c r="V21" s="159"/>
      <c r="W21" s="159"/>
      <c r="X21" s="159"/>
      <c r="Y21" s="159"/>
      <c r="Z21" s="159"/>
    </row>
    <row r="22" spans="1:26" s="174" customFormat="1">
      <c r="A22" s="169"/>
      <c r="B22" s="170"/>
      <c r="C22" s="170"/>
      <c r="D22" s="170"/>
      <c r="E22" s="170"/>
      <c r="F22" s="170"/>
      <c r="G22" s="170"/>
      <c r="H22" s="170"/>
      <c r="I22" s="170"/>
      <c r="J22" s="170"/>
      <c r="K22" s="172"/>
      <c r="L22" s="170"/>
      <c r="M22" s="170"/>
      <c r="N22" s="170"/>
      <c r="O22" s="170"/>
      <c r="P22" s="172"/>
      <c r="Q22" s="170"/>
      <c r="R22" s="181"/>
      <c r="S22" s="173"/>
      <c r="T22" s="159"/>
      <c r="U22" s="159"/>
      <c r="V22" s="159"/>
      <c r="W22" s="159"/>
      <c r="X22" s="159"/>
      <c r="Y22" s="159"/>
      <c r="Z22" s="159"/>
    </row>
    <row r="23" spans="1:26" s="174" customFormat="1">
      <c r="A23" s="175"/>
      <c r="B23" s="176"/>
      <c r="C23" s="176"/>
      <c r="D23" s="176"/>
      <c r="E23" s="176"/>
      <c r="F23" s="176"/>
      <c r="G23" s="176"/>
      <c r="H23" s="176"/>
      <c r="I23" s="176"/>
      <c r="J23" s="176"/>
      <c r="K23" s="178"/>
      <c r="L23" s="176"/>
      <c r="M23" s="176"/>
      <c r="N23" s="176"/>
      <c r="O23" s="176"/>
      <c r="P23" s="178"/>
      <c r="Q23" s="176"/>
      <c r="R23" s="182"/>
      <c r="S23" s="179"/>
      <c r="T23" s="159"/>
      <c r="U23" s="159"/>
      <c r="V23" s="159"/>
      <c r="W23" s="159"/>
      <c r="X23" s="159"/>
      <c r="Y23" s="159"/>
      <c r="Z23" s="159"/>
    </row>
    <row r="24" spans="1:26" s="174" customFormat="1">
      <c r="A24" s="175"/>
      <c r="B24" s="170"/>
      <c r="C24" s="170"/>
      <c r="D24" s="170"/>
      <c r="E24" s="170"/>
      <c r="F24" s="170"/>
      <c r="G24" s="170"/>
      <c r="H24" s="170"/>
      <c r="I24" s="170"/>
      <c r="J24" s="170"/>
      <c r="K24" s="172"/>
      <c r="L24" s="170"/>
      <c r="M24" s="170"/>
      <c r="N24" s="170"/>
      <c r="O24" s="170"/>
      <c r="P24" s="172"/>
      <c r="Q24" s="170"/>
      <c r="R24" s="181"/>
      <c r="S24" s="173"/>
      <c r="T24" s="159"/>
      <c r="U24" s="159"/>
      <c r="V24" s="159"/>
      <c r="W24" s="159"/>
      <c r="X24" s="159"/>
      <c r="Y24" s="159"/>
      <c r="Z24" s="159"/>
    </row>
    <row r="25" spans="1:26" s="174" customFormat="1">
      <c r="A25" s="175"/>
      <c r="B25" s="176"/>
      <c r="C25" s="176"/>
      <c r="D25" s="176"/>
      <c r="E25" s="176"/>
      <c r="F25" s="176"/>
      <c r="G25" s="176"/>
      <c r="H25" s="176"/>
      <c r="I25" s="176"/>
      <c r="J25" s="176"/>
      <c r="K25" s="178"/>
      <c r="L25" s="176"/>
      <c r="M25" s="176"/>
      <c r="N25" s="176"/>
      <c r="O25" s="176"/>
      <c r="P25" s="178"/>
      <c r="Q25" s="176"/>
      <c r="R25" s="182"/>
      <c r="S25" s="179"/>
      <c r="T25" s="159"/>
      <c r="U25" s="159"/>
      <c r="V25" s="159"/>
      <c r="W25" s="159"/>
      <c r="X25" s="159"/>
      <c r="Y25" s="159"/>
      <c r="Z25" s="159"/>
    </row>
    <row r="26" spans="1:26" s="174" customFormat="1">
      <c r="A26" s="175"/>
      <c r="B26" s="170"/>
      <c r="C26" s="170"/>
      <c r="D26" s="170"/>
      <c r="E26" s="170"/>
      <c r="F26" s="170"/>
      <c r="G26" s="170"/>
      <c r="H26" s="170"/>
      <c r="I26" s="170"/>
      <c r="J26" s="170"/>
      <c r="K26" s="172"/>
      <c r="L26" s="170"/>
      <c r="M26" s="170"/>
      <c r="N26" s="170"/>
      <c r="O26" s="170"/>
      <c r="P26" s="172"/>
      <c r="Q26" s="170"/>
      <c r="R26" s="181"/>
      <c r="S26" s="173"/>
      <c r="T26" s="159"/>
      <c r="U26" s="159"/>
      <c r="V26" s="159"/>
      <c r="W26" s="159"/>
      <c r="X26" s="159"/>
      <c r="Y26" s="159"/>
      <c r="Z26" s="159"/>
    </row>
    <row r="27" spans="1:26" s="174" customFormat="1">
      <c r="A27" s="175"/>
      <c r="B27" s="176"/>
      <c r="C27" s="176"/>
      <c r="D27" s="176"/>
      <c r="E27" s="176"/>
      <c r="F27" s="176"/>
      <c r="G27" s="176"/>
      <c r="H27" s="176"/>
      <c r="I27" s="176"/>
      <c r="J27" s="176"/>
      <c r="K27" s="178"/>
      <c r="L27" s="176"/>
      <c r="M27" s="176"/>
      <c r="N27" s="176"/>
      <c r="O27" s="176"/>
      <c r="P27" s="178"/>
      <c r="Q27" s="176"/>
      <c r="R27" s="182"/>
      <c r="S27" s="179"/>
      <c r="T27" s="159"/>
      <c r="U27" s="159"/>
      <c r="V27" s="159"/>
      <c r="W27" s="159"/>
      <c r="X27" s="159"/>
      <c r="Y27" s="159"/>
      <c r="Z27" s="159"/>
    </row>
    <row r="28" spans="1:26" s="174" customFormat="1">
      <c r="A28" s="175"/>
      <c r="B28" s="170"/>
      <c r="C28" s="170"/>
      <c r="D28" s="170"/>
      <c r="E28" s="170"/>
      <c r="F28" s="170"/>
      <c r="G28" s="170"/>
      <c r="H28" s="170"/>
      <c r="I28" s="170"/>
      <c r="J28" s="170"/>
      <c r="K28" s="172"/>
      <c r="L28" s="170"/>
      <c r="M28" s="170"/>
      <c r="N28" s="170"/>
      <c r="O28" s="170"/>
      <c r="P28" s="172"/>
      <c r="Q28" s="170"/>
      <c r="R28" s="181"/>
      <c r="S28" s="173"/>
      <c r="T28" s="159"/>
      <c r="U28" s="159"/>
      <c r="V28" s="159"/>
      <c r="W28" s="159"/>
      <c r="X28" s="159"/>
      <c r="Y28" s="159"/>
      <c r="Z28" s="159"/>
    </row>
    <row r="29" spans="1:26" s="174" customFormat="1">
      <c r="A29" s="180"/>
      <c r="B29" s="176"/>
      <c r="C29" s="176"/>
      <c r="D29" s="176"/>
      <c r="E29" s="176"/>
      <c r="F29" s="176"/>
      <c r="G29" s="176"/>
      <c r="H29" s="176"/>
      <c r="I29" s="176"/>
      <c r="J29" s="176"/>
      <c r="K29" s="178"/>
      <c r="L29" s="176"/>
      <c r="M29" s="176"/>
      <c r="N29" s="176"/>
      <c r="O29" s="176"/>
      <c r="P29" s="178"/>
      <c r="Q29" s="176"/>
      <c r="R29" s="182"/>
      <c r="S29" s="179"/>
      <c r="T29" s="159"/>
      <c r="U29" s="159"/>
      <c r="V29" s="159"/>
      <c r="W29" s="159"/>
      <c r="X29" s="159"/>
      <c r="Y29" s="159"/>
      <c r="Z29" s="159"/>
    </row>
    <row r="30" spans="1:26" s="174" customFormat="1">
      <c r="A30" s="169"/>
      <c r="B30" s="170"/>
      <c r="C30" s="170"/>
      <c r="D30" s="170"/>
      <c r="E30" s="170"/>
      <c r="F30" s="170"/>
      <c r="G30" s="170"/>
      <c r="H30" s="170"/>
      <c r="I30" s="170"/>
      <c r="J30" s="170"/>
      <c r="K30" s="172"/>
      <c r="L30" s="170"/>
      <c r="M30" s="170"/>
      <c r="N30" s="170"/>
      <c r="O30" s="170"/>
      <c r="P30" s="172"/>
      <c r="Q30" s="170"/>
      <c r="R30" s="181"/>
      <c r="S30" s="173"/>
      <c r="T30" s="159"/>
      <c r="U30" s="159"/>
      <c r="V30" s="159"/>
      <c r="W30" s="159"/>
      <c r="X30" s="159"/>
      <c r="Y30" s="159"/>
      <c r="Z30" s="159"/>
    </row>
    <row r="31" spans="1:26" s="174" customFormat="1">
      <c r="A31" s="175"/>
      <c r="B31" s="176"/>
      <c r="C31" s="176"/>
      <c r="D31" s="176"/>
      <c r="E31" s="176"/>
      <c r="F31" s="176"/>
      <c r="G31" s="176"/>
      <c r="H31" s="176"/>
      <c r="I31" s="176"/>
      <c r="J31" s="176"/>
      <c r="K31" s="178"/>
      <c r="L31" s="176"/>
      <c r="M31" s="176"/>
      <c r="N31" s="176"/>
      <c r="O31" s="176"/>
      <c r="P31" s="178"/>
      <c r="Q31" s="176"/>
      <c r="R31" s="182"/>
      <c r="S31" s="179"/>
      <c r="T31" s="159"/>
      <c r="U31" s="159"/>
      <c r="V31" s="159"/>
      <c r="W31" s="159"/>
      <c r="X31" s="159"/>
      <c r="Y31" s="159"/>
      <c r="Z31" s="159"/>
    </row>
    <row r="32" spans="1:26" s="174" customFormat="1">
      <c r="A32" s="175"/>
      <c r="B32" s="170"/>
      <c r="C32" s="170"/>
      <c r="D32" s="170"/>
      <c r="E32" s="170"/>
      <c r="F32" s="170"/>
      <c r="G32" s="170"/>
      <c r="H32" s="170"/>
      <c r="I32" s="170"/>
      <c r="J32" s="170"/>
      <c r="K32" s="172"/>
      <c r="L32" s="170"/>
      <c r="M32" s="170"/>
      <c r="N32" s="170"/>
      <c r="O32" s="170"/>
      <c r="P32" s="172"/>
      <c r="Q32" s="170"/>
      <c r="R32" s="181"/>
      <c r="S32" s="173"/>
      <c r="T32" s="159"/>
      <c r="U32" s="159"/>
      <c r="V32" s="159"/>
      <c r="W32" s="159"/>
      <c r="X32" s="159"/>
      <c r="Y32" s="159"/>
      <c r="Z32" s="159"/>
    </row>
    <row r="33" spans="1:26" s="174" customFormat="1">
      <c r="A33" s="175"/>
      <c r="B33" s="176"/>
      <c r="C33" s="176"/>
      <c r="D33" s="176"/>
      <c r="E33" s="176"/>
      <c r="F33" s="176"/>
      <c r="G33" s="176"/>
      <c r="H33" s="176"/>
      <c r="I33" s="176"/>
      <c r="J33" s="176"/>
      <c r="K33" s="178"/>
      <c r="L33" s="176"/>
      <c r="M33" s="176"/>
      <c r="N33" s="176"/>
      <c r="O33" s="176"/>
      <c r="P33" s="178"/>
      <c r="Q33" s="176"/>
      <c r="R33" s="182"/>
      <c r="S33" s="179"/>
      <c r="T33" s="159"/>
      <c r="U33" s="159"/>
      <c r="V33" s="159"/>
      <c r="W33" s="159"/>
      <c r="X33" s="159"/>
      <c r="Y33" s="159"/>
      <c r="Z33" s="159"/>
    </row>
    <row r="34" spans="1:26" s="174" customFormat="1">
      <c r="A34" s="175"/>
      <c r="B34" s="170"/>
      <c r="C34" s="170"/>
      <c r="D34" s="170"/>
      <c r="E34" s="170"/>
      <c r="F34" s="170"/>
      <c r="G34" s="170"/>
      <c r="H34" s="170"/>
      <c r="I34" s="170"/>
      <c r="J34" s="170"/>
      <c r="K34" s="172"/>
      <c r="L34" s="170"/>
      <c r="M34" s="170"/>
      <c r="N34" s="170"/>
      <c r="O34" s="170"/>
      <c r="P34" s="172"/>
      <c r="Q34" s="170"/>
      <c r="R34" s="181"/>
      <c r="S34" s="173"/>
      <c r="T34" s="159"/>
      <c r="U34" s="159"/>
      <c r="V34" s="159"/>
      <c r="W34" s="159"/>
      <c r="X34" s="159"/>
      <c r="Y34" s="159"/>
      <c r="Z34" s="159"/>
    </row>
    <row r="35" spans="1:26" s="174" customFormat="1">
      <c r="A35" s="175"/>
      <c r="B35" s="176"/>
      <c r="C35" s="176"/>
      <c r="D35" s="176"/>
      <c r="E35" s="176"/>
      <c r="F35" s="176"/>
      <c r="G35" s="176"/>
      <c r="H35" s="176"/>
      <c r="I35" s="176"/>
      <c r="J35" s="176"/>
      <c r="K35" s="178"/>
      <c r="L35" s="176"/>
      <c r="M35" s="176"/>
      <c r="N35" s="176"/>
      <c r="O35" s="176"/>
      <c r="P35" s="178"/>
      <c r="Q35" s="176"/>
      <c r="R35" s="182"/>
      <c r="S35" s="179"/>
      <c r="T35" s="159"/>
      <c r="U35" s="159"/>
      <c r="V35" s="159"/>
      <c r="W35" s="159"/>
      <c r="X35" s="159"/>
      <c r="Y35" s="159"/>
      <c r="Z35" s="159"/>
    </row>
    <row r="36" spans="1:26" s="174" customFormat="1">
      <c r="A36" s="175"/>
      <c r="B36" s="170"/>
      <c r="C36" s="170"/>
      <c r="D36" s="170"/>
      <c r="E36" s="170"/>
      <c r="F36" s="170"/>
      <c r="G36" s="170"/>
      <c r="H36" s="170"/>
      <c r="I36" s="170"/>
      <c r="J36" s="170"/>
      <c r="K36" s="172"/>
      <c r="L36" s="170"/>
      <c r="M36" s="170"/>
      <c r="N36" s="170"/>
      <c r="O36" s="170"/>
      <c r="P36" s="172"/>
      <c r="Q36" s="170"/>
      <c r="R36" s="181"/>
      <c r="S36" s="173"/>
      <c r="T36" s="159"/>
      <c r="U36" s="159"/>
      <c r="V36" s="159"/>
      <c r="W36" s="159"/>
      <c r="X36" s="159"/>
      <c r="Y36" s="159"/>
      <c r="Z36" s="159"/>
    </row>
    <row r="37" spans="1:26" s="174" customFormat="1">
      <c r="A37" s="180"/>
      <c r="B37" s="176"/>
      <c r="C37" s="176"/>
      <c r="D37" s="176"/>
      <c r="E37" s="176"/>
      <c r="F37" s="176"/>
      <c r="G37" s="176"/>
      <c r="H37" s="176"/>
      <c r="I37" s="176"/>
      <c r="J37" s="176"/>
      <c r="K37" s="178"/>
      <c r="L37" s="176"/>
      <c r="M37" s="176"/>
      <c r="N37" s="176"/>
      <c r="O37" s="176"/>
      <c r="P37" s="178"/>
      <c r="Q37" s="176"/>
      <c r="R37" s="182"/>
      <c r="S37" s="179"/>
      <c r="T37" s="159"/>
      <c r="U37" s="159"/>
      <c r="V37" s="159"/>
      <c r="W37" s="159"/>
      <c r="X37" s="159"/>
      <c r="Y37" s="159"/>
      <c r="Z37" s="159"/>
    </row>
    <row r="38" spans="1:26" s="174" customFormat="1">
      <c r="A38" s="169"/>
      <c r="B38" s="170"/>
      <c r="C38" s="170"/>
      <c r="D38" s="170"/>
      <c r="E38" s="170"/>
      <c r="F38" s="170"/>
      <c r="G38" s="170"/>
      <c r="H38" s="170"/>
      <c r="I38" s="170"/>
      <c r="J38" s="170"/>
      <c r="K38" s="172"/>
      <c r="L38" s="170"/>
      <c r="M38" s="170"/>
      <c r="N38" s="170"/>
      <c r="O38" s="170"/>
      <c r="P38" s="172"/>
      <c r="Q38" s="170"/>
      <c r="R38" s="181"/>
      <c r="S38" s="173"/>
      <c r="T38" s="159"/>
      <c r="U38" s="159"/>
      <c r="V38" s="159"/>
      <c r="W38" s="159"/>
      <c r="X38" s="159"/>
      <c r="Y38" s="159"/>
      <c r="Z38" s="159"/>
    </row>
    <row r="39" spans="1:26" s="174" customFormat="1">
      <c r="A39" s="175"/>
      <c r="B39" s="176"/>
      <c r="C39" s="176"/>
      <c r="D39" s="176"/>
      <c r="E39" s="176"/>
      <c r="F39" s="176"/>
      <c r="G39" s="176"/>
      <c r="H39" s="176"/>
      <c r="I39" s="176"/>
      <c r="J39" s="176"/>
      <c r="K39" s="178"/>
      <c r="L39" s="176"/>
      <c r="M39" s="176"/>
      <c r="N39" s="176"/>
      <c r="O39" s="176"/>
      <c r="P39" s="178"/>
      <c r="Q39" s="176"/>
      <c r="R39" s="182"/>
      <c r="S39" s="179"/>
      <c r="T39" s="159"/>
      <c r="U39" s="159"/>
      <c r="V39" s="159"/>
      <c r="W39" s="159"/>
      <c r="X39" s="159"/>
      <c r="Y39" s="159"/>
      <c r="Z39" s="159"/>
    </row>
    <row r="40" spans="1:26" s="174" customFormat="1">
      <c r="A40" s="175"/>
      <c r="B40" s="170"/>
      <c r="C40" s="170"/>
      <c r="D40" s="170"/>
      <c r="E40" s="170"/>
      <c r="F40" s="170"/>
      <c r="G40" s="170"/>
      <c r="H40" s="170"/>
      <c r="I40" s="170"/>
      <c r="J40" s="170"/>
      <c r="K40" s="172"/>
      <c r="L40" s="170"/>
      <c r="M40" s="170"/>
      <c r="N40" s="170"/>
      <c r="O40" s="170"/>
      <c r="P40" s="172"/>
      <c r="Q40" s="170"/>
      <c r="R40" s="181"/>
      <c r="S40" s="173"/>
      <c r="T40" s="159"/>
      <c r="U40" s="159"/>
      <c r="V40" s="159"/>
      <c r="W40" s="159"/>
      <c r="X40" s="159"/>
      <c r="Y40" s="159"/>
      <c r="Z40" s="159"/>
    </row>
    <row r="41" spans="1:26" s="174" customFormat="1">
      <c r="A41" s="175"/>
      <c r="B41" s="176"/>
      <c r="C41" s="176"/>
      <c r="D41" s="176"/>
      <c r="E41" s="176"/>
      <c r="F41" s="176"/>
      <c r="G41" s="176"/>
      <c r="H41" s="176"/>
      <c r="I41" s="176"/>
      <c r="J41" s="176"/>
      <c r="K41" s="178"/>
      <c r="L41" s="176"/>
      <c r="M41" s="176"/>
      <c r="N41" s="176"/>
      <c r="O41" s="176"/>
      <c r="P41" s="178"/>
      <c r="Q41" s="176"/>
      <c r="R41" s="182"/>
      <c r="S41" s="179"/>
      <c r="T41" s="159"/>
      <c r="U41" s="159"/>
      <c r="V41" s="159"/>
      <c r="W41" s="159"/>
      <c r="X41" s="159"/>
      <c r="Y41" s="159"/>
      <c r="Z41" s="159"/>
    </row>
    <row r="42" spans="1:26" s="174" customFormat="1">
      <c r="A42" s="175"/>
      <c r="B42" s="170"/>
      <c r="C42" s="170"/>
      <c r="D42" s="170"/>
      <c r="E42" s="170"/>
      <c r="F42" s="170"/>
      <c r="G42" s="170"/>
      <c r="H42" s="170"/>
      <c r="I42" s="170"/>
      <c r="J42" s="170"/>
      <c r="K42" s="172"/>
      <c r="L42" s="170"/>
      <c r="M42" s="170"/>
      <c r="N42" s="170"/>
      <c r="O42" s="170"/>
      <c r="P42" s="172"/>
      <c r="Q42" s="170"/>
      <c r="R42" s="181"/>
      <c r="S42" s="173"/>
      <c r="T42" s="159"/>
      <c r="U42" s="159"/>
      <c r="V42" s="159"/>
      <c r="W42" s="159"/>
      <c r="X42" s="159"/>
      <c r="Y42" s="159"/>
      <c r="Z42" s="159"/>
    </row>
    <row r="43" spans="1:26" s="174" customFormat="1">
      <c r="A43" s="175"/>
      <c r="B43" s="176"/>
      <c r="C43" s="176"/>
      <c r="D43" s="176"/>
      <c r="E43" s="176"/>
      <c r="F43" s="176"/>
      <c r="G43" s="176"/>
      <c r="H43" s="176"/>
      <c r="I43" s="176"/>
      <c r="J43" s="176"/>
      <c r="K43" s="178"/>
      <c r="L43" s="176"/>
      <c r="M43" s="176"/>
      <c r="N43" s="176"/>
      <c r="O43" s="176"/>
      <c r="P43" s="178"/>
      <c r="Q43" s="176"/>
      <c r="R43" s="182"/>
      <c r="S43" s="179"/>
      <c r="T43" s="159"/>
      <c r="U43" s="159"/>
      <c r="V43" s="159"/>
      <c r="W43" s="159"/>
      <c r="X43" s="159"/>
      <c r="Y43" s="159"/>
      <c r="Z43" s="159"/>
    </row>
    <row r="44" spans="1:26" s="174" customFormat="1">
      <c r="A44" s="175"/>
      <c r="B44" s="170"/>
      <c r="C44" s="170"/>
      <c r="D44" s="170"/>
      <c r="E44" s="170"/>
      <c r="F44" s="170"/>
      <c r="G44" s="170"/>
      <c r="H44" s="170"/>
      <c r="I44" s="170"/>
      <c r="J44" s="170"/>
      <c r="K44" s="172"/>
      <c r="L44" s="170"/>
      <c r="M44" s="170"/>
      <c r="N44" s="170"/>
      <c r="O44" s="170"/>
      <c r="P44" s="172"/>
      <c r="Q44" s="170"/>
      <c r="R44" s="181"/>
      <c r="S44" s="173"/>
      <c r="T44" s="159"/>
      <c r="U44" s="159"/>
      <c r="V44" s="159"/>
      <c r="W44" s="159"/>
      <c r="X44" s="159"/>
      <c r="Y44" s="159"/>
      <c r="Z44" s="159"/>
    </row>
    <row r="45" spans="1:26" s="174" customFormat="1">
      <c r="A45" s="180"/>
      <c r="B45" s="176"/>
      <c r="C45" s="176"/>
      <c r="D45" s="176"/>
      <c r="E45" s="176"/>
      <c r="F45" s="176"/>
      <c r="G45" s="176"/>
      <c r="H45" s="176"/>
      <c r="I45" s="176"/>
      <c r="J45" s="176"/>
      <c r="K45" s="178"/>
      <c r="L45" s="176"/>
      <c r="M45" s="176"/>
      <c r="N45" s="176"/>
      <c r="O45" s="176"/>
      <c r="P45" s="178"/>
      <c r="Q45" s="176"/>
      <c r="R45" s="182"/>
      <c r="S45" s="179"/>
      <c r="T45" s="159"/>
      <c r="U45" s="159"/>
      <c r="V45" s="159"/>
      <c r="W45" s="159"/>
      <c r="X45" s="159"/>
      <c r="Y45" s="159"/>
      <c r="Z45" s="159"/>
    </row>
    <row r="46" spans="1:26" s="174" customFormat="1">
      <c r="A46" s="169"/>
      <c r="B46" s="170"/>
      <c r="C46" s="170"/>
      <c r="D46" s="170"/>
      <c r="E46" s="170"/>
      <c r="F46" s="170"/>
      <c r="G46" s="170"/>
      <c r="H46" s="170"/>
      <c r="I46" s="170"/>
      <c r="J46" s="170"/>
      <c r="K46" s="172"/>
      <c r="L46" s="170"/>
      <c r="M46" s="170"/>
      <c r="N46" s="170"/>
      <c r="O46" s="170"/>
      <c r="P46" s="172"/>
      <c r="Q46" s="170"/>
      <c r="R46" s="181"/>
      <c r="S46" s="173"/>
      <c r="T46" s="159"/>
      <c r="U46" s="159"/>
      <c r="V46" s="159"/>
      <c r="W46" s="159"/>
      <c r="X46" s="159"/>
      <c r="Y46" s="159"/>
      <c r="Z46" s="159"/>
    </row>
    <row r="47" spans="1:26" s="174" customFormat="1">
      <c r="A47" s="175"/>
      <c r="B47" s="176"/>
      <c r="C47" s="176"/>
      <c r="D47" s="176"/>
      <c r="E47" s="176"/>
      <c r="F47" s="176"/>
      <c r="G47" s="176"/>
      <c r="H47" s="176"/>
      <c r="I47" s="176"/>
      <c r="J47" s="176"/>
      <c r="K47" s="178"/>
      <c r="L47" s="176"/>
      <c r="M47" s="176"/>
      <c r="N47" s="176"/>
      <c r="O47" s="176"/>
      <c r="P47" s="178"/>
      <c r="Q47" s="176"/>
      <c r="R47" s="182"/>
      <c r="S47" s="179"/>
      <c r="T47" s="159"/>
      <c r="U47" s="159"/>
      <c r="V47" s="159"/>
      <c r="W47" s="159"/>
      <c r="X47" s="159"/>
      <c r="Y47" s="159"/>
      <c r="Z47" s="159"/>
    </row>
    <row r="48" spans="1:26" s="174" customFormat="1">
      <c r="A48" s="175"/>
      <c r="B48" s="170"/>
      <c r="C48" s="170"/>
      <c r="D48" s="170"/>
      <c r="E48" s="170"/>
      <c r="F48" s="170"/>
      <c r="G48" s="170"/>
      <c r="H48" s="170"/>
      <c r="I48" s="170"/>
      <c r="J48" s="170"/>
      <c r="K48" s="172"/>
      <c r="L48" s="170"/>
      <c r="M48" s="170"/>
      <c r="N48" s="170"/>
      <c r="O48" s="170"/>
      <c r="P48" s="172"/>
      <c r="Q48" s="170"/>
      <c r="R48" s="181"/>
      <c r="S48" s="173"/>
      <c r="T48" s="159"/>
      <c r="U48" s="159"/>
      <c r="V48" s="159"/>
      <c r="W48" s="159"/>
      <c r="X48" s="159"/>
      <c r="Y48" s="159"/>
      <c r="Z48" s="159"/>
    </row>
    <row r="49" spans="1:26" s="174" customFormat="1">
      <c r="A49" s="175"/>
      <c r="B49" s="176"/>
      <c r="C49" s="176"/>
      <c r="D49" s="176"/>
      <c r="E49" s="176"/>
      <c r="F49" s="176"/>
      <c r="G49" s="176"/>
      <c r="H49" s="176"/>
      <c r="I49" s="176"/>
      <c r="J49" s="176"/>
      <c r="K49" s="178"/>
      <c r="L49" s="176"/>
      <c r="M49" s="176"/>
      <c r="N49" s="176"/>
      <c r="O49" s="176"/>
      <c r="P49" s="178"/>
      <c r="Q49" s="176"/>
      <c r="R49" s="182"/>
      <c r="S49" s="179"/>
      <c r="T49" s="159"/>
      <c r="U49" s="159"/>
      <c r="V49" s="159"/>
      <c r="W49" s="159"/>
      <c r="X49" s="159"/>
      <c r="Y49" s="159"/>
      <c r="Z49" s="159"/>
    </row>
    <row r="50" spans="1:26" s="174" customFormat="1">
      <c r="A50" s="175"/>
      <c r="B50" s="170"/>
      <c r="C50" s="170"/>
      <c r="D50" s="170"/>
      <c r="E50" s="170"/>
      <c r="F50" s="170"/>
      <c r="G50" s="170"/>
      <c r="H50" s="170"/>
      <c r="I50" s="170"/>
      <c r="J50" s="170"/>
      <c r="K50" s="172"/>
      <c r="L50" s="170"/>
      <c r="M50" s="170"/>
      <c r="N50" s="170"/>
      <c r="O50" s="170"/>
      <c r="P50" s="172"/>
      <c r="Q50" s="170"/>
      <c r="R50" s="181"/>
      <c r="S50" s="173"/>
      <c r="T50" s="159"/>
      <c r="U50" s="159"/>
      <c r="V50" s="159"/>
      <c r="W50" s="159"/>
      <c r="X50" s="159"/>
      <c r="Y50" s="159"/>
      <c r="Z50" s="159"/>
    </row>
    <row r="51" spans="1:26" s="174" customFormat="1">
      <c r="A51" s="175"/>
      <c r="B51" s="176"/>
      <c r="C51" s="176"/>
      <c r="D51" s="176"/>
      <c r="E51" s="176"/>
      <c r="F51" s="176"/>
      <c r="G51" s="176"/>
      <c r="H51" s="176"/>
      <c r="I51" s="176"/>
      <c r="J51" s="176"/>
      <c r="K51" s="178"/>
      <c r="L51" s="176"/>
      <c r="M51" s="176"/>
      <c r="N51" s="176"/>
      <c r="O51" s="176"/>
      <c r="P51" s="178"/>
      <c r="Q51" s="176"/>
      <c r="R51" s="182"/>
      <c r="S51" s="179"/>
      <c r="T51" s="159"/>
      <c r="U51" s="159"/>
      <c r="V51" s="159"/>
      <c r="W51" s="159"/>
      <c r="X51" s="159"/>
      <c r="Y51" s="159"/>
      <c r="Z51" s="159"/>
    </row>
    <row r="52" spans="1:26" s="174" customFormat="1">
      <c r="A52" s="175"/>
      <c r="B52" s="170"/>
      <c r="C52" s="170"/>
      <c r="D52" s="170"/>
      <c r="E52" s="170"/>
      <c r="F52" s="170"/>
      <c r="G52" s="170"/>
      <c r="H52" s="170"/>
      <c r="I52" s="170"/>
      <c r="J52" s="170"/>
      <c r="K52" s="172"/>
      <c r="L52" s="170"/>
      <c r="M52" s="170"/>
      <c r="N52" s="170"/>
      <c r="O52" s="170"/>
      <c r="P52" s="172"/>
      <c r="Q52" s="170"/>
      <c r="R52" s="181"/>
      <c r="S52" s="173"/>
      <c r="T52" s="159"/>
      <c r="U52" s="159"/>
      <c r="V52" s="159"/>
      <c r="W52" s="159"/>
      <c r="X52" s="159"/>
      <c r="Y52" s="159"/>
      <c r="Z52" s="159"/>
    </row>
    <row r="53" spans="1:26" s="174" customFormat="1">
      <c r="A53" s="180"/>
      <c r="B53" s="176"/>
      <c r="C53" s="176"/>
      <c r="D53" s="176"/>
      <c r="E53" s="176"/>
      <c r="F53" s="176"/>
      <c r="G53" s="176"/>
      <c r="H53" s="176"/>
      <c r="I53" s="176"/>
      <c r="J53" s="176"/>
      <c r="K53" s="178"/>
      <c r="L53" s="176"/>
      <c r="M53" s="176"/>
      <c r="N53" s="176"/>
      <c r="O53" s="176"/>
      <c r="P53" s="178"/>
      <c r="Q53" s="176"/>
      <c r="R53" s="182"/>
      <c r="S53" s="179"/>
      <c r="T53" s="159"/>
      <c r="U53" s="159"/>
      <c r="V53" s="159"/>
      <c r="W53" s="159"/>
      <c r="X53" s="159"/>
      <c r="Y53" s="159"/>
      <c r="Z53" s="159"/>
    </row>
    <row r="54" spans="1:26" s="174" customFormat="1">
      <c r="A54" s="169"/>
      <c r="B54" s="170"/>
      <c r="C54" s="170"/>
      <c r="D54" s="170"/>
      <c r="E54" s="170"/>
      <c r="F54" s="170"/>
      <c r="G54" s="170"/>
      <c r="H54" s="170"/>
      <c r="I54" s="170"/>
      <c r="J54" s="170"/>
      <c r="K54" s="172"/>
      <c r="L54" s="170"/>
      <c r="M54" s="170"/>
      <c r="N54" s="170"/>
      <c r="O54" s="170"/>
      <c r="P54" s="172"/>
      <c r="Q54" s="170"/>
      <c r="R54" s="181"/>
      <c r="S54" s="173"/>
      <c r="T54" s="159"/>
      <c r="U54" s="159"/>
      <c r="V54" s="159"/>
      <c r="W54" s="159"/>
      <c r="X54" s="159"/>
      <c r="Y54" s="159"/>
      <c r="Z54" s="159"/>
    </row>
    <row r="55" spans="1:26" s="174" customFormat="1">
      <c r="A55" s="175"/>
      <c r="B55" s="176"/>
      <c r="C55" s="176"/>
      <c r="D55" s="176"/>
      <c r="E55" s="176"/>
      <c r="F55" s="176"/>
      <c r="G55" s="176"/>
      <c r="H55" s="176"/>
      <c r="I55" s="176"/>
      <c r="J55" s="176"/>
      <c r="K55" s="178"/>
      <c r="L55" s="176"/>
      <c r="M55" s="176"/>
      <c r="N55" s="176"/>
      <c r="O55" s="176"/>
      <c r="P55" s="178"/>
      <c r="Q55" s="176"/>
      <c r="R55" s="182"/>
      <c r="S55" s="179"/>
      <c r="T55" s="159"/>
      <c r="U55" s="159"/>
      <c r="V55" s="159"/>
      <c r="W55" s="159"/>
      <c r="X55" s="159"/>
      <c r="Y55" s="159"/>
      <c r="Z55" s="159"/>
    </row>
    <row r="56" spans="1:26" s="174" customFormat="1">
      <c r="A56" s="175"/>
      <c r="B56" s="170"/>
      <c r="C56" s="170"/>
      <c r="D56" s="170"/>
      <c r="E56" s="170"/>
      <c r="F56" s="170"/>
      <c r="G56" s="170"/>
      <c r="H56" s="170"/>
      <c r="I56" s="170"/>
      <c r="J56" s="170"/>
      <c r="K56" s="172"/>
      <c r="L56" s="170"/>
      <c r="M56" s="170"/>
      <c r="N56" s="170"/>
      <c r="O56" s="170"/>
      <c r="P56" s="172"/>
      <c r="Q56" s="170"/>
      <c r="R56" s="181"/>
      <c r="S56" s="173"/>
      <c r="T56" s="159"/>
      <c r="U56" s="159"/>
      <c r="V56" s="159"/>
      <c r="W56" s="159"/>
      <c r="X56" s="159"/>
      <c r="Y56" s="159"/>
      <c r="Z56" s="159"/>
    </row>
    <row r="57" spans="1:26" s="174" customFormat="1">
      <c r="A57" s="175"/>
      <c r="B57" s="176"/>
      <c r="C57" s="176"/>
      <c r="D57" s="176"/>
      <c r="E57" s="176"/>
      <c r="F57" s="176"/>
      <c r="G57" s="176"/>
      <c r="H57" s="176"/>
      <c r="I57" s="176"/>
      <c r="J57" s="176"/>
      <c r="K57" s="178"/>
      <c r="L57" s="176"/>
      <c r="M57" s="176"/>
      <c r="N57" s="176"/>
      <c r="O57" s="176"/>
      <c r="P57" s="178"/>
      <c r="Q57" s="176"/>
      <c r="R57" s="182"/>
      <c r="S57" s="179"/>
      <c r="T57" s="159"/>
      <c r="U57" s="159"/>
      <c r="V57" s="159"/>
      <c r="W57" s="159"/>
      <c r="X57" s="159"/>
      <c r="Y57" s="159"/>
      <c r="Z57" s="159"/>
    </row>
    <row r="58" spans="1:26" s="174" customFormat="1">
      <c r="A58" s="175"/>
      <c r="B58" s="170"/>
      <c r="C58" s="170"/>
      <c r="D58" s="170"/>
      <c r="E58" s="170"/>
      <c r="F58" s="170"/>
      <c r="G58" s="170"/>
      <c r="H58" s="170"/>
      <c r="I58" s="170"/>
      <c r="J58" s="170"/>
      <c r="K58" s="172"/>
      <c r="L58" s="170"/>
      <c r="M58" s="170"/>
      <c r="N58" s="170"/>
      <c r="O58" s="170"/>
      <c r="P58" s="172"/>
      <c r="Q58" s="170"/>
      <c r="R58" s="181"/>
      <c r="S58" s="173"/>
      <c r="T58" s="159"/>
      <c r="U58" s="159"/>
      <c r="V58" s="159"/>
      <c r="W58" s="159"/>
      <c r="X58" s="159"/>
      <c r="Y58" s="159"/>
      <c r="Z58" s="159"/>
    </row>
    <row r="59" spans="1:26" s="174" customFormat="1">
      <c r="A59" s="175"/>
      <c r="B59" s="176"/>
      <c r="C59" s="176"/>
      <c r="D59" s="176"/>
      <c r="E59" s="176"/>
      <c r="F59" s="176"/>
      <c r="G59" s="176"/>
      <c r="H59" s="176"/>
      <c r="I59" s="176"/>
      <c r="J59" s="176"/>
      <c r="K59" s="178"/>
      <c r="L59" s="176"/>
      <c r="M59" s="176"/>
      <c r="N59" s="176"/>
      <c r="O59" s="176"/>
      <c r="P59" s="178"/>
      <c r="Q59" s="176"/>
      <c r="R59" s="182"/>
      <c r="S59" s="179"/>
      <c r="T59" s="159"/>
      <c r="U59" s="159"/>
      <c r="V59" s="159"/>
      <c r="W59" s="159"/>
      <c r="X59" s="159"/>
      <c r="Y59" s="159"/>
      <c r="Z59" s="159"/>
    </row>
    <row r="60" spans="1:26" s="174" customFormat="1">
      <c r="A60" s="175"/>
      <c r="B60" s="170"/>
      <c r="C60" s="170"/>
      <c r="D60" s="170"/>
      <c r="E60" s="170"/>
      <c r="F60" s="170"/>
      <c r="G60" s="170"/>
      <c r="H60" s="170"/>
      <c r="I60" s="170"/>
      <c r="J60" s="170"/>
      <c r="K60" s="172"/>
      <c r="L60" s="170"/>
      <c r="M60" s="170"/>
      <c r="N60" s="170"/>
      <c r="O60" s="170"/>
      <c r="P60" s="172"/>
      <c r="Q60" s="170"/>
      <c r="R60" s="181"/>
      <c r="S60" s="173"/>
      <c r="T60" s="159"/>
      <c r="U60" s="159"/>
      <c r="V60" s="159"/>
      <c r="W60" s="159"/>
      <c r="X60" s="159"/>
      <c r="Y60" s="159"/>
      <c r="Z60" s="159"/>
    </row>
    <row r="61" spans="1:26" s="174" customFormat="1">
      <c r="A61" s="180"/>
      <c r="B61" s="176"/>
      <c r="C61" s="176"/>
      <c r="D61" s="176"/>
      <c r="E61" s="176"/>
      <c r="F61" s="176"/>
      <c r="G61" s="176"/>
      <c r="H61" s="176"/>
      <c r="I61" s="176"/>
      <c r="J61" s="176"/>
      <c r="K61" s="178"/>
      <c r="L61" s="176"/>
      <c r="M61" s="176"/>
      <c r="N61" s="176"/>
      <c r="O61" s="176"/>
      <c r="P61" s="178"/>
      <c r="Q61" s="176"/>
      <c r="R61" s="182"/>
      <c r="S61" s="179"/>
      <c r="T61" s="159"/>
      <c r="U61" s="159"/>
      <c r="V61" s="159"/>
      <c r="W61" s="159"/>
      <c r="X61" s="159"/>
      <c r="Y61" s="159"/>
      <c r="Z61" s="159"/>
    </row>
    <row r="62" spans="1:26" s="174" customFormat="1">
      <c r="A62" s="169"/>
      <c r="B62" s="170"/>
      <c r="C62" s="170"/>
      <c r="D62" s="170"/>
      <c r="E62" s="170"/>
      <c r="F62" s="170"/>
      <c r="G62" s="170"/>
      <c r="H62" s="170"/>
      <c r="I62" s="170"/>
      <c r="J62" s="170"/>
      <c r="K62" s="172"/>
      <c r="L62" s="170"/>
      <c r="M62" s="170"/>
      <c r="N62" s="170"/>
      <c r="O62" s="170"/>
      <c r="P62" s="172"/>
      <c r="Q62" s="170"/>
      <c r="R62" s="181"/>
      <c r="S62" s="173"/>
      <c r="T62" s="159"/>
      <c r="U62" s="159"/>
      <c r="V62" s="159"/>
      <c r="W62" s="159"/>
      <c r="X62" s="159"/>
      <c r="Y62" s="159"/>
      <c r="Z62" s="159"/>
    </row>
    <row r="63" spans="1:26" s="174" customFormat="1">
      <c r="A63" s="175"/>
      <c r="B63" s="176"/>
      <c r="C63" s="176"/>
      <c r="D63" s="176"/>
      <c r="E63" s="176"/>
      <c r="F63" s="176"/>
      <c r="G63" s="176"/>
      <c r="H63" s="176"/>
      <c r="I63" s="176"/>
      <c r="J63" s="176"/>
      <c r="K63" s="178"/>
      <c r="L63" s="176"/>
      <c r="M63" s="176"/>
      <c r="N63" s="176"/>
      <c r="O63" s="176"/>
      <c r="P63" s="178"/>
      <c r="Q63" s="176"/>
      <c r="R63" s="182"/>
      <c r="S63" s="179"/>
      <c r="T63" s="159"/>
      <c r="U63" s="159"/>
      <c r="V63" s="159"/>
      <c r="W63" s="159"/>
      <c r="X63" s="159"/>
      <c r="Y63" s="159"/>
      <c r="Z63" s="159"/>
    </row>
    <row r="64" spans="1:26" s="174" customFormat="1">
      <c r="A64" s="175"/>
      <c r="B64" s="170"/>
      <c r="C64" s="170"/>
      <c r="D64" s="170"/>
      <c r="E64" s="170"/>
      <c r="F64" s="170"/>
      <c r="G64" s="170"/>
      <c r="H64" s="170"/>
      <c r="I64" s="170"/>
      <c r="J64" s="170"/>
      <c r="K64" s="172"/>
      <c r="L64" s="170"/>
      <c r="M64" s="170"/>
      <c r="N64" s="170"/>
      <c r="O64" s="170"/>
      <c r="P64" s="172"/>
      <c r="Q64" s="170"/>
      <c r="R64" s="181"/>
      <c r="S64" s="173"/>
      <c r="T64" s="159"/>
      <c r="U64" s="159"/>
      <c r="V64" s="159"/>
      <c r="W64" s="159"/>
      <c r="X64" s="159"/>
      <c r="Y64" s="159"/>
      <c r="Z64" s="159"/>
    </row>
    <row r="65" spans="1:26" s="174" customFormat="1">
      <c r="A65" s="175"/>
      <c r="B65" s="176"/>
      <c r="C65" s="176"/>
      <c r="D65" s="176"/>
      <c r="E65" s="176"/>
      <c r="F65" s="176"/>
      <c r="G65" s="176"/>
      <c r="H65" s="176"/>
      <c r="I65" s="176"/>
      <c r="J65" s="176"/>
      <c r="K65" s="178"/>
      <c r="L65" s="176"/>
      <c r="M65" s="176"/>
      <c r="N65" s="176"/>
      <c r="O65" s="176"/>
      <c r="P65" s="178"/>
      <c r="Q65" s="176"/>
      <c r="R65" s="182"/>
      <c r="S65" s="179"/>
      <c r="T65" s="159"/>
      <c r="U65" s="159"/>
      <c r="V65" s="159"/>
      <c r="W65" s="159"/>
      <c r="X65" s="159"/>
      <c r="Y65" s="159"/>
      <c r="Z65" s="159"/>
    </row>
    <row r="66" spans="1:26" s="174" customFormat="1">
      <c r="A66" s="175"/>
      <c r="B66" s="170"/>
      <c r="C66" s="170"/>
      <c r="D66" s="170"/>
      <c r="E66" s="170"/>
      <c r="F66" s="170"/>
      <c r="G66" s="170"/>
      <c r="H66" s="170"/>
      <c r="I66" s="170"/>
      <c r="J66" s="170"/>
      <c r="K66" s="172"/>
      <c r="L66" s="170"/>
      <c r="M66" s="170"/>
      <c r="N66" s="170"/>
      <c r="O66" s="170"/>
      <c r="P66" s="172"/>
      <c r="Q66" s="170"/>
      <c r="R66" s="181"/>
      <c r="S66" s="173"/>
      <c r="T66" s="159"/>
      <c r="U66" s="159"/>
      <c r="V66" s="159"/>
      <c r="W66" s="159"/>
      <c r="X66" s="159"/>
      <c r="Y66" s="159"/>
      <c r="Z66" s="159"/>
    </row>
    <row r="67" spans="1:26" s="174" customFormat="1">
      <c r="A67" s="175"/>
      <c r="B67" s="176"/>
      <c r="C67" s="176"/>
      <c r="D67" s="176"/>
      <c r="E67" s="176"/>
      <c r="F67" s="176"/>
      <c r="G67" s="176"/>
      <c r="H67" s="176"/>
      <c r="I67" s="176"/>
      <c r="J67" s="176"/>
      <c r="K67" s="178"/>
      <c r="L67" s="176"/>
      <c r="M67" s="176"/>
      <c r="N67" s="176"/>
      <c r="O67" s="176"/>
      <c r="P67" s="178"/>
      <c r="Q67" s="176"/>
      <c r="R67" s="182"/>
      <c r="S67" s="179"/>
      <c r="T67" s="159"/>
      <c r="U67" s="159"/>
      <c r="V67" s="159"/>
      <c r="W67" s="159"/>
      <c r="X67" s="159"/>
      <c r="Y67" s="159"/>
      <c r="Z67" s="159"/>
    </row>
    <row r="68" spans="1:26" s="174" customFormat="1">
      <c r="A68" s="175"/>
      <c r="B68" s="170"/>
      <c r="C68" s="170"/>
      <c r="D68" s="170"/>
      <c r="E68" s="170"/>
      <c r="F68" s="170"/>
      <c r="G68" s="170"/>
      <c r="H68" s="170"/>
      <c r="I68" s="170"/>
      <c r="J68" s="170"/>
      <c r="K68" s="172"/>
      <c r="L68" s="170"/>
      <c r="M68" s="170"/>
      <c r="N68" s="170"/>
      <c r="O68" s="170"/>
      <c r="P68" s="172"/>
      <c r="Q68" s="170"/>
      <c r="R68" s="181"/>
      <c r="S68" s="173"/>
      <c r="T68" s="159"/>
      <c r="U68" s="159"/>
      <c r="V68" s="159"/>
      <c r="W68" s="159"/>
      <c r="X68" s="159"/>
      <c r="Y68" s="159"/>
      <c r="Z68" s="159"/>
    </row>
    <row r="69" spans="1:26" s="174" customFormat="1">
      <c r="A69" s="180"/>
      <c r="B69" s="176"/>
      <c r="C69" s="176"/>
      <c r="D69" s="176"/>
      <c r="E69" s="176"/>
      <c r="F69" s="176"/>
      <c r="G69" s="176"/>
      <c r="H69" s="176"/>
      <c r="I69" s="176"/>
      <c r="J69" s="176"/>
      <c r="K69" s="178"/>
      <c r="L69" s="176"/>
      <c r="M69" s="176"/>
      <c r="N69" s="176"/>
      <c r="O69" s="176"/>
      <c r="P69" s="178"/>
      <c r="Q69" s="176"/>
      <c r="R69" s="182"/>
      <c r="S69" s="179"/>
      <c r="T69" s="159"/>
      <c r="U69" s="159"/>
      <c r="V69" s="159"/>
      <c r="W69" s="159"/>
      <c r="X69" s="159"/>
      <c r="Y69" s="159"/>
      <c r="Z69" s="159"/>
    </row>
    <row r="70" spans="1:26" s="174" customFormat="1">
      <c r="A70" s="169"/>
      <c r="B70" s="170"/>
      <c r="C70" s="170"/>
      <c r="D70" s="170"/>
      <c r="E70" s="170"/>
      <c r="F70" s="170"/>
      <c r="G70" s="170"/>
      <c r="H70" s="170"/>
      <c r="I70" s="170"/>
      <c r="J70" s="170"/>
      <c r="K70" s="172"/>
      <c r="L70" s="170"/>
      <c r="M70" s="170"/>
      <c r="N70" s="170"/>
      <c r="O70" s="170"/>
      <c r="P70" s="172"/>
      <c r="Q70" s="170"/>
      <c r="R70" s="181"/>
      <c r="S70" s="173"/>
      <c r="T70" s="159"/>
      <c r="U70" s="159"/>
      <c r="V70" s="159"/>
      <c r="W70" s="159"/>
      <c r="X70" s="159"/>
      <c r="Y70" s="159"/>
      <c r="Z70" s="159"/>
    </row>
    <row r="71" spans="1:26" s="174" customFormat="1">
      <c r="A71" s="175"/>
      <c r="B71" s="176"/>
      <c r="C71" s="176"/>
      <c r="D71" s="176"/>
      <c r="E71" s="176"/>
      <c r="F71" s="176"/>
      <c r="G71" s="176"/>
      <c r="H71" s="176"/>
      <c r="I71" s="176"/>
      <c r="J71" s="176"/>
      <c r="K71" s="178"/>
      <c r="L71" s="176"/>
      <c r="M71" s="176"/>
      <c r="N71" s="176"/>
      <c r="O71" s="176"/>
      <c r="P71" s="178"/>
      <c r="Q71" s="176"/>
      <c r="R71" s="182"/>
      <c r="S71" s="179"/>
      <c r="T71" s="159"/>
      <c r="U71" s="159"/>
      <c r="V71" s="159"/>
      <c r="W71" s="159"/>
      <c r="X71" s="159"/>
      <c r="Y71" s="159"/>
      <c r="Z71" s="159"/>
    </row>
    <row r="72" spans="1:26" s="174" customFormat="1">
      <c r="A72" s="175"/>
      <c r="B72" s="170"/>
      <c r="C72" s="170"/>
      <c r="D72" s="170"/>
      <c r="E72" s="170"/>
      <c r="F72" s="170"/>
      <c r="G72" s="170"/>
      <c r="H72" s="170"/>
      <c r="I72" s="170"/>
      <c r="J72" s="170"/>
      <c r="K72" s="172"/>
      <c r="L72" s="170"/>
      <c r="M72" s="170"/>
      <c r="N72" s="170"/>
      <c r="O72" s="170"/>
      <c r="P72" s="172"/>
      <c r="Q72" s="170"/>
      <c r="R72" s="181"/>
      <c r="S72" s="173"/>
      <c r="T72" s="159"/>
      <c r="U72" s="159"/>
      <c r="V72" s="159"/>
      <c r="W72" s="159"/>
      <c r="X72" s="159"/>
      <c r="Y72" s="159"/>
      <c r="Z72" s="159"/>
    </row>
    <row r="73" spans="1:26" s="174" customFormat="1">
      <c r="A73" s="175"/>
      <c r="B73" s="176"/>
      <c r="C73" s="176"/>
      <c r="D73" s="176"/>
      <c r="E73" s="176"/>
      <c r="F73" s="176"/>
      <c r="G73" s="176"/>
      <c r="H73" s="176"/>
      <c r="I73" s="176"/>
      <c r="J73" s="176"/>
      <c r="K73" s="178"/>
      <c r="L73" s="176"/>
      <c r="M73" s="176"/>
      <c r="N73" s="176"/>
      <c r="O73" s="176"/>
      <c r="P73" s="178"/>
      <c r="Q73" s="176"/>
      <c r="R73" s="182"/>
      <c r="S73" s="179"/>
      <c r="T73" s="159"/>
      <c r="U73" s="159"/>
      <c r="V73" s="159"/>
      <c r="W73" s="159"/>
      <c r="X73" s="159"/>
      <c r="Y73" s="159"/>
      <c r="Z73" s="159"/>
    </row>
    <row r="74" spans="1:26" s="174" customFormat="1">
      <c r="A74" s="175"/>
      <c r="B74" s="170"/>
      <c r="C74" s="170"/>
      <c r="D74" s="170"/>
      <c r="E74" s="170"/>
      <c r="F74" s="170"/>
      <c r="G74" s="170"/>
      <c r="H74" s="170"/>
      <c r="I74" s="170"/>
      <c r="J74" s="170"/>
      <c r="K74" s="172"/>
      <c r="L74" s="170"/>
      <c r="M74" s="170"/>
      <c r="N74" s="170"/>
      <c r="O74" s="170"/>
      <c r="P74" s="172"/>
      <c r="Q74" s="170"/>
      <c r="R74" s="181"/>
      <c r="S74" s="173"/>
      <c r="T74" s="159"/>
      <c r="U74" s="159"/>
      <c r="V74" s="159"/>
      <c r="W74" s="159"/>
      <c r="X74" s="159"/>
      <c r="Y74" s="159"/>
      <c r="Z74" s="159"/>
    </row>
    <row r="75" spans="1:26" s="174" customFormat="1">
      <c r="A75" s="175"/>
      <c r="B75" s="176"/>
      <c r="C75" s="176"/>
      <c r="D75" s="176"/>
      <c r="E75" s="176"/>
      <c r="F75" s="176"/>
      <c r="G75" s="176"/>
      <c r="H75" s="176"/>
      <c r="I75" s="176"/>
      <c r="J75" s="176"/>
      <c r="K75" s="178"/>
      <c r="L75" s="176"/>
      <c r="M75" s="176"/>
      <c r="N75" s="176"/>
      <c r="O75" s="176"/>
      <c r="P75" s="178"/>
      <c r="Q75" s="176"/>
      <c r="R75" s="182"/>
      <c r="S75" s="179"/>
      <c r="T75" s="159"/>
      <c r="U75" s="159"/>
      <c r="V75" s="159"/>
      <c r="W75" s="159"/>
      <c r="X75" s="159"/>
      <c r="Y75" s="159"/>
      <c r="Z75" s="159"/>
    </row>
    <row r="76" spans="1:26" s="174" customFormat="1">
      <c r="A76" s="175"/>
      <c r="B76" s="170"/>
      <c r="C76" s="170"/>
      <c r="D76" s="170"/>
      <c r="E76" s="170"/>
      <c r="F76" s="170"/>
      <c r="G76" s="170"/>
      <c r="H76" s="170"/>
      <c r="I76" s="170"/>
      <c r="J76" s="170"/>
      <c r="K76" s="172"/>
      <c r="L76" s="170"/>
      <c r="M76" s="170"/>
      <c r="N76" s="170"/>
      <c r="O76" s="170"/>
      <c r="P76" s="172"/>
      <c r="Q76" s="170"/>
      <c r="R76" s="181"/>
      <c r="S76" s="173"/>
      <c r="T76" s="159"/>
      <c r="U76" s="159"/>
      <c r="V76" s="159"/>
      <c r="W76" s="159"/>
      <c r="X76" s="159"/>
      <c r="Y76" s="159"/>
      <c r="Z76" s="159"/>
    </row>
    <row r="77" spans="1:26" s="174" customFormat="1">
      <c r="A77" s="180"/>
      <c r="B77" s="176"/>
      <c r="C77" s="176"/>
      <c r="D77" s="176"/>
      <c r="E77" s="176"/>
      <c r="F77" s="176"/>
      <c r="G77" s="176"/>
      <c r="H77" s="176"/>
      <c r="I77" s="176"/>
      <c r="J77" s="176"/>
      <c r="K77" s="178"/>
      <c r="L77" s="176"/>
      <c r="M77" s="176"/>
      <c r="N77" s="176"/>
      <c r="O77" s="176"/>
      <c r="P77" s="178"/>
      <c r="Q77" s="176"/>
      <c r="R77" s="182"/>
      <c r="S77" s="179"/>
      <c r="T77" s="159"/>
      <c r="U77" s="159"/>
      <c r="V77" s="159"/>
      <c r="W77" s="159"/>
      <c r="X77" s="159"/>
      <c r="Y77" s="159"/>
      <c r="Z77" s="159"/>
    </row>
    <row r="78" spans="1:26" s="174" customFormat="1">
      <c r="A78" s="169"/>
      <c r="B78" s="170"/>
      <c r="C78" s="170"/>
      <c r="D78" s="170"/>
      <c r="E78" s="170"/>
      <c r="F78" s="170"/>
      <c r="G78" s="170"/>
      <c r="H78" s="170"/>
      <c r="I78" s="170"/>
      <c r="J78" s="170"/>
      <c r="K78" s="172"/>
      <c r="L78" s="170"/>
      <c r="M78" s="170"/>
      <c r="N78" s="170"/>
      <c r="O78" s="170"/>
      <c r="P78" s="172"/>
      <c r="Q78" s="170"/>
      <c r="R78" s="181"/>
      <c r="S78" s="173"/>
      <c r="T78" s="159"/>
      <c r="U78" s="159"/>
      <c r="V78" s="159"/>
      <c r="W78" s="159"/>
      <c r="X78" s="159"/>
      <c r="Y78" s="159"/>
      <c r="Z78" s="159"/>
    </row>
    <row r="79" spans="1:26" s="174" customFormat="1">
      <c r="A79" s="175"/>
      <c r="B79" s="176"/>
      <c r="C79" s="176"/>
      <c r="D79" s="176"/>
      <c r="E79" s="176"/>
      <c r="F79" s="176"/>
      <c r="G79" s="176"/>
      <c r="H79" s="176"/>
      <c r="I79" s="176"/>
      <c r="J79" s="176"/>
      <c r="K79" s="178"/>
      <c r="L79" s="176"/>
      <c r="M79" s="176"/>
      <c r="N79" s="176"/>
      <c r="O79" s="176"/>
      <c r="P79" s="178"/>
      <c r="Q79" s="176"/>
      <c r="R79" s="182"/>
      <c r="S79" s="179"/>
      <c r="T79" s="159"/>
      <c r="U79" s="159"/>
      <c r="V79" s="159"/>
      <c r="W79" s="159"/>
      <c r="X79" s="159"/>
      <c r="Y79" s="159"/>
      <c r="Z79" s="159"/>
    </row>
    <row r="80" spans="1:26" s="174" customFormat="1">
      <c r="A80" s="175"/>
      <c r="B80" s="170"/>
      <c r="C80" s="170"/>
      <c r="D80" s="170"/>
      <c r="E80" s="170"/>
      <c r="F80" s="170"/>
      <c r="G80" s="170"/>
      <c r="H80" s="170"/>
      <c r="I80" s="170"/>
      <c r="J80" s="170"/>
      <c r="K80" s="172"/>
      <c r="L80" s="170"/>
      <c r="M80" s="170"/>
      <c r="N80" s="170"/>
      <c r="O80" s="170"/>
      <c r="P80" s="172"/>
      <c r="Q80" s="170"/>
      <c r="R80" s="181"/>
      <c r="S80" s="173"/>
      <c r="T80" s="159"/>
      <c r="U80" s="159"/>
      <c r="V80" s="159"/>
      <c r="W80" s="159"/>
      <c r="X80" s="159"/>
      <c r="Y80" s="159"/>
      <c r="Z80" s="159"/>
    </row>
    <row r="81" spans="1:26" s="174" customFormat="1">
      <c r="A81" s="175"/>
      <c r="B81" s="176"/>
      <c r="C81" s="176"/>
      <c r="D81" s="176"/>
      <c r="E81" s="176"/>
      <c r="F81" s="176"/>
      <c r="G81" s="176"/>
      <c r="H81" s="176"/>
      <c r="I81" s="176"/>
      <c r="J81" s="176"/>
      <c r="K81" s="178"/>
      <c r="L81" s="176"/>
      <c r="M81" s="176"/>
      <c r="N81" s="176"/>
      <c r="O81" s="176"/>
      <c r="P81" s="178"/>
      <c r="Q81" s="176"/>
      <c r="R81" s="182"/>
      <c r="S81" s="179"/>
      <c r="T81" s="159"/>
      <c r="U81" s="159"/>
      <c r="V81" s="159"/>
      <c r="W81" s="159"/>
      <c r="X81" s="159"/>
      <c r="Y81" s="159"/>
      <c r="Z81" s="159"/>
    </row>
    <row r="82" spans="1:26" s="174" customFormat="1">
      <c r="A82" s="175"/>
      <c r="B82" s="170"/>
      <c r="C82" s="170"/>
      <c r="D82" s="170"/>
      <c r="E82" s="170"/>
      <c r="F82" s="170"/>
      <c r="G82" s="170"/>
      <c r="H82" s="170"/>
      <c r="I82" s="170"/>
      <c r="J82" s="170"/>
      <c r="K82" s="172"/>
      <c r="L82" s="170"/>
      <c r="M82" s="170"/>
      <c r="N82" s="170"/>
      <c r="O82" s="170"/>
      <c r="P82" s="172"/>
      <c r="Q82" s="170"/>
      <c r="R82" s="181"/>
      <c r="S82" s="173"/>
      <c r="T82" s="159"/>
      <c r="U82" s="159"/>
      <c r="V82" s="159"/>
      <c r="W82" s="159"/>
      <c r="X82" s="159"/>
      <c r="Y82" s="159"/>
      <c r="Z82" s="159"/>
    </row>
    <row r="83" spans="1:26" s="174" customFormat="1">
      <c r="A83" s="175"/>
      <c r="B83" s="176"/>
      <c r="C83" s="176"/>
      <c r="D83" s="176"/>
      <c r="E83" s="176"/>
      <c r="F83" s="176"/>
      <c r="G83" s="176"/>
      <c r="H83" s="176"/>
      <c r="I83" s="176"/>
      <c r="J83" s="176"/>
      <c r="K83" s="178"/>
      <c r="L83" s="176"/>
      <c r="M83" s="176"/>
      <c r="N83" s="176"/>
      <c r="O83" s="176"/>
      <c r="P83" s="178"/>
      <c r="Q83" s="176"/>
      <c r="R83" s="182"/>
      <c r="S83" s="179"/>
      <c r="T83" s="159"/>
      <c r="U83" s="159"/>
      <c r="V83" s="159"/>
      <c r="W83" s="159"/>
      <c r="X83" s="159"/>
      <c r="Y83" s="159"/>
      <c r="Z83" s="159"/>
    </row>
    <row r="84" spans="1:26" s="174" customFormat="1">
      <c r="A84" s="175"/>
      <c r="B84" s="170"/>
      <c r="C84" s="170"/>
      <c r="D84" s="170"/>
      <c r="E84" s="170"/>
      <c r="F84" s="170"/>
      <c r="G84" s="170"/>
      <c r="H84" s="170"/>
      <c r="I84" s="170"/>
      <c r="J84" s="170"/>
      <c r="K84" s="172"/>
      <c r="L84" s="170"/>
      <c r="M84" s="170"/>
      <c r="N84" s="170"/>
      <c r="O84" s="170"/>
      <c r="P84" s="172"/>
      <c r="Q84" s="170"/>
      <c r="R84" s="181"/>
      <c r="S84" s="173"/>
      <c r="T84" s="159"/>
      <c r="U84" s="159"/>
      <c r="V84" s="159"/>
      <c r="W84" s="159"/>
      <c r="X84" s="159"/>
      <c r="Y84" s="159"/>
      <c r="Z84" s="159"/>
    </row>
    <row r="85" spans="1:26" s="174" customFormat="1">
      <c r="A85" s="180"/>
      <c r="B85" s="176"/>
      <c r="C85" s="176"/>
      <c r="D85" s="176"/>
      <c r="E85" s="176"/>
      <c r="F85" s="176"/>
      <c r="G85" s="176"/>
      <c r="H85" s="176"/>
      <c r="I85" s="176"/>
      <c r="J85" s="176"/>
      <c r="K85" s="178"/>
      <c r="L85" s="176"/>
      <c r="M85" s="176"/>
      <c r="N85" s="176"/>
      <c r="O85" s="176"/>
      <c r="P85" s="178"/>
      <c r="Q85" s="176"/>
      <c r="R85" s="182"/>
      <c r="S85" s="179"/>
      <c r="T85" s="159"/>
      <c r="U85" s="159"/>
      <c r="V85" s="159"/>
      <c r="W85" s="159"/>
      <c r="X85" s="159"/>
      <c r="Y85" s="159"/>
      <c r="Z85" s="159"/>
    </row>
    <row r="86" spans="1:26" s="174" customFormat="1">
      <c r="A86" s="169"/>
      <c r="B86" s="170"/>
      <c r="C86" s="170"/>
      <c r="D86" s="170"/>
      <c r="E86" s="170"/>
      <c r="F86" s="170"/>
      <c r="G86" s="170"/>
      <c r="H86" s="170"/>
      <c r="I86" s="170"/>
      <c r="J86" s="170"/>
      <c r="K86" s="172"/>
      <c r="L86" s="170"/>
      <c r="M86" s="170"/>
      <c r="N86" s="170"/>
      <c r="O86" s="170"/>
      <c r="P86" s="172"/>
      <c r="Q86" s="170"/>
      <c r="R86" s="181"/>
      <c r="S86" s="173"/>
      <c r="T86" s="159"/>
      <c r="U86" s="159"/>
      <c r="V86" s="159"/>
      <c r="W86" s="159"/>
      <c r="X86" s="159"/>
      <c r="Y86" s="159"/>
      <c r="Z86" s="159"/>
    </row>
    <row r="87" spans="1:26" s="174" customFormat="1">
      <c r="A87" s="175"/>
      <c r="B87" s="176"/>
      <c r="C87" s="176"/>
      <c r="D87" s="176"/>
      <c r="E87" s="176"/>
      <c r="F87" s="176"/>
      <c r="G87" s="176"/>
      <c r="H87" s="176"/>
      <c r="I87" s="176"/>
      <c r="J87" s="176"/>
      <c r="K87" s="178"/>
      <c r="L87" s="176"/>
      <c r="M87" s="176"/>
      <c r="N87" s="176"/>
      <c r="O87" s="176"/>
      <c r="P87" s="178"/>
      <c r="Q87" s="176"/>
      <c r="R87" s="182"/>
      <c r="S87" s="179"/>
      <c r="T87" s="159"/>
      <c r="U87" s="159"/>
      <c r="V87" s="159"/>
      <c r="W87" s="159"/>
      <c r="X87" s="159"/>
      <c r="Y87" s="159"/>
      <c r="Z87" s="159"/>
    </row>
    <row r="88" spans="1:26" s="174" customFormat="1">
      <c r="A88" s="175"/>
      <c r="B88" s="170"/>
      <c r="C88" s="170"/>
      <c r="D88" s="170"/>
      <c r="E88" s="170"/>
      <c r="F88" s="170"/>
      <c r="G88" s="170"/>
      <c r="H88" s="170"/>
      <c r="I88" s="170"/>
      <c r="J88" s="170"/>
      <c r="K88" s="172"/>
      <c r="L88" s="170"/>
      <c r="M88" s="170"/>
      <c r="N88" s="170"/>
      <c r="O88" s="170"/>
      <c r="P88" s="172"/>
      <c r="Q88" s="170"/>
      <c r="R88" s="181"/>
      <c r="S88" s="173"/>
      <c r="T88" s="159"/>
      <c r="U88" s="159"/>
      <c r="V88" s="159"/>
      <c r="W88" s="159"/>
      <c r="X88" s="159"/>
      <c r="Y88" s="159"/>
      <c r="Z88" s="159"/>
    </row>
    <row r="89" spans="1:26" s="174" customFormat="1">
      <c r="A89" s="175"/>
      <c r="B89" s="176"/>
      <c r="C89" s="176"/>
      <c r="D89" s="176"/>
      <c r="E89" s="176"/>
      <c r="F89" s="176"/>
      <c r="G89" s="176"/>
      <c r="H89" s="176"/>
      <c r="I89" s="176"/>
      <c r="J89" s="176"/>
      <c r="K89" s="178"/>
      <c r="L89" s="176"/>
      <c r="M89" s="176"/>
      <c r="N89" s="176"/>
      <c r="O89" s="176"/>
      <c r="P89" s="178"/>
      <c r="Q89" s="176"/>
      <c r="R89" s="182"/>
      <c r="S89" s="179"/>
      <c r="T89" s="159"/>
      <c r="U89" s="159"/>
      <c r="V89" s="159"/>
      <c r="W89" s="159"/>
      <c r="X89" s="159"/>
      <c r="Y89" s="159"/>
      <c r="Z89" s="159"/>
    </row>
    <row r="90" spans="1:26" s="174" customFormat="1">
      <c r="A90" s="175"/>
      <c r="B90" s="170"/>
      <c r="C90" s="170"/>
      <c r="D90" s="170"/>
      <c r="E90" s="170"/>
      <c r="F90" s="170"/>
      <c r="G90" s="170"/>
      <c r="H90" s="170"/>
      <c r="I90" s="170"/>
      <c r="J90" s="170"/>
      <c r="K90" s="172"/>
      <c r="L90" s="170"/>
      <c r="M90" s="170"/>
      <c r="N90" s="170"/>
      <c r="O90" s="170"/>
      <c r="P90" s="172"/>
      <c r="Q90" s="170"/>
      <c r="R90" s="181"/>
      <c r="S90" s="173"/>
      <c r="T90" s="159"/>
      <c r="U90" s="159"/>
      <c r="V90" s="159"/>
      <c r="W90" s="159"/>
      <c r="X90" s="159"/>
      <c r="Y90" s="159"/>
      <c r="Z90" s="159"/>
    </row>
    <row r="91" spans="1:26" s="174" customFormat="1">
      <c r="A91" s="175"/>
      <c r="B91" s="176"/>
      <c r="C91" s="176"/>
      <c r="D91" s="176"/>
      <c r="E91" s="176"/>
      <c r="F91" s="176"/>
      <c r="G91" s="176"/>
      <c r="H91" s="176"/>
      <c r="I91" s="176"/>
      <c r="J91" s="176"/>
      <c r="K91" s="178"/>
      <c r="L91" s="176"/>
      <c r="M91" s="176"/>
      <c r="N91" s="176"/>
      <c r="O91" s="176"/>
      <c r="P91" s="178"/>
      <c r="Q91" s="176"/>
      <c r="R91" s="182"/>
      <c r="S91" s="179"/>
      <c r="T91" s="159"/>
      <c r="U91" s="159"/>
      <c r="V91" s="159"/>
      <c r="W91" s="159"/>
      <c r="X91" s="159"/>
      <c r="Y91" s="159"/>
      <c r="Z91" s="159"/>
    </row>
    <row r="92" spans="1:26" s="174" customFormat="1">
      <c r="A92" s="175"/>
      <c r="B92" s="170"/>
      <c r="C92" s="170"/>
      <c r="D92" s="170"/>
      <c r="E92" s="170"/>
      <c r="F92" s="170"/>
      <c r="G92" s="170"/>
      <c r="H92" s="170"/>
      <c r="I92" s="170"/>
      <c r="J92" s="170"/>
      <c r="K92" s="172"/>
      <c r="L92" s="170"/>
      <c r="M92" s="170"/>
      <c r="N92" s="170"/>
      <c r="O92" s="170"/>
      <c r="P92" s="172"/>
      <c r="Q92" s="170"/>
      <c r="R92" s="181"/>
      <c r="S92" s="173"/>
      <c r="T92" s="159"/>
      <c r="U92" s="159"/>
      <c r="V92" s="159"/>
      <c r="W92" s="159"/>
      <c r="X92" s="159"/>
      <c r="Y92" s="159"/>
      <c r="Z92" s="159"/>
    </row>
    <row r="93" spans="1:26" s="174" customFormat="1">
      <c r="A93" s="180"/>
      <c r="B93" s="176"/>
      <c r="C93" s="176"/>
      <c r="D93" s="176"/>
      <c r="E93" s="176"/>
      <c r="F93" s="176"/>
      <c r="G93" s="176"/>
      <c r="H93" s="176"/>
      <c r="I93" s="176"/>
      <c r="J93" s="176"/>
      <c r="K93" s="178"/>
      <c r="L93" s="176"/>
      <c r="M93" s="176"/>
      <c r="N93" s="176"/>
      <c r="O93" s="176"/>
      <c r="P93" s="178"/>
      <c r="Q93" s="176"/>
      <c r="R93" s="182"/>
      <c r="S93" s="179"/>
      <c r="T93" s="159"/>
      <c r="U93" s="159"/>
      <c r="V93" s="159"/>
      <c r="W93" s="159"/>
      <c r="X93" s="159"/>
      <c r="Y93" s="159"/>
      <c r="Z93" s="159"/>
    </row>
    <row r="94" spans="1:26" s="174" customFormat="1">
      <c r="A94" s="169"/>
      <c r="B94" s="170"/>
      <c r="C94" s="170"/>
      <c r="D94" s="170"/>
      <c r="E94" s="170"/>
      <c r="F94" s="170"/>
      <c r="G94" s="170"/>
      <c r="H94" s="170"/>
      <c r="I94" s="170"/>
      <c r="J94" s="170"/>
      <c r="K94" s="172"/>
      <c r="L94" s="170"/>
      <c r="M94" s="170"/>
      <c r="N94" s="170"/>
      <c r="O94" s="170"/>
      <c r="P94" s="172"/>
      <c r="Q94" s="170"/>
      <c r="R94" s="181"/>
      <c r="S94" s="173"/>
      <c r="T94" s="159"/>
      <c r="U94" s="159"/>
      <c r="V94" s="159"/>
      <c r="W94" s="159"/>
      <c r="X94" s="159"/>
      <c r="Y94" s="159"/>
      <c r="Z94" s="159"/>
    </row>
    <row r="95" spans="1:26" s="174" customFormat="1">
      <c r="A95" s="175"/>
      <c r="B95" s="176"/>
      <c r="C95" s="176"/>
      <c r="D95" s="176"/>
      <c r="E95" s="176"/>
      <c r="F95" s="176"/>
      <c r="G95" s="176"/>
      <c r="H95" s="176"/>
      <c r="I95" s="176"/>
      <c r="J95" s="176"/>
      <c r="K95" s="178"/>
      <c r="L95" s="176"/>
      <c r="M95" s="176"/>
      <c r="N95" s="176"/>
      <c r="O95" s="176"/>
      <c r="P95" s="178"/>
      <c r="Q95" s="176"/>
      <c r="R95" s="182"/>
      <c r="S95" s="179"/>
      <c r="T95" s="159"/>
      <c r="U95" s="159"/>
      <c r="V95" s="159"/>
      <c r="W95" s="159"/>
      <c r="X95" s="159"/>
      <c r="Y95" s="159"/>
      <c r="Z95" s="159"/>
    </row>
    <row r="96" spans="1:26" s="174" customFormat="1">
      <c r="A96" s="175"/>
      <c r="B96" s="170"/>
      <c r="C96" s="170"/>
      <c r="D96" s="170"/>
      <c r="E96" s="170"/>
      <c r="F96" s="170"/>
      <c r="G96" s="170"/>
      <c r="H96" s="170"/>
      <c r="I96" s="170"/>
      <c r="J96" s="170"/>
      <c r="K96" s="172"/>
      <c r="L96" s="170"/>
      <c r="M96" s="170"/>
      <c r="N96" s="170"/>
      <c r="O96" s="170"/>
      <c r="P96" s="172"/>
      <c r="Q96" s="170"/>
      <c r="R96" s="181"/>
      <c r="S96" s="173"/>
      <c r="T96" s="159"/>
      <c r="U96" s="159"/>
      <c r="V96" s="159"/>
      <c r="W96" s="159"/>
      <c r="X96" s="159"/>
      <c r="Y96" s="159"/>
      <c r="Z96" s="159"/>
    </row>
    <row r="97" spans="1:26" s="174" customFormat="1">
      <c r="A97" s="175"/>
      <c r="B97" s="176"/>
      <c r="C97" s="176"/>
      <c r="D97" s="176"/>
      <c r="E97" s="176"/>
      <c r="F97" s="176"/>
      <c r="G97" s="176"/>
      <c r="H97" s="176"/>
      <c r="I97" s="176"/>
      <c r="J97" s="176"/>
      <c r="K97" s="178"/>
      <c r="L97" s="176"/>
      <c r="M97" s="176"/>
      <c r="N97" s="176"/>
      <c r="O97" s="176"/>
      <c r="P97" s="178"/>
      <c r="Q97" s="176"/>
      <c r="R97" s="182"/>
      <c r="S97" s="179"/>
      <c r="T97" s="159"/>
      <c r="U97" s="159"/>
      <c r="V97" s="159"/>
      <c r="W97" s="159"/>
      <c r="X97" s="159"/>
      <c r="Y97" s="159"/>
      <c r="Z97" s="159"/>
    </row>
    <row r="98" spans="1:26" s="174" customFormat="1">
      <c r="A98" s="175"/>
      <c r="B98" s="170"/>
      <c r="C98" s="170"/>
      <c r="D98" s="170"/>
      <c r="E98" s="170"/>
      <c r="F98" s="170"/>
      <c r="G98" s="170"/>
      <c r="H98" s="170"/>
      <c r="I98" s="170"/>
      <c r="J98" s="170"/>
      <c r="K98" s="172"/>
      <c r="L98" s="170"/>
      <c r="M98" s="170"/>
      <c r="N98" s="170"/>
      <c r="O98" s="170"/>
      <c r="P98" s="172"/>
      <c r="Q98" s="170"/>
      <c r="R98" s="181"/>
      <c r="S98" s="173"/>
      <c r="T98" s="159"/>
      <c r="U98" s="159"/>
      <c r="V98" s="159"/>
      <c r="W98" s="159"/>
      <c r="X98" s="159"/>
      <c r="Y98" s="159"/>
      <c r="Z98" s="159"/>
    </row>
    <row r="99" spans="1:26" s="174" customFormat="1">
      <c r="A99" s="175"/>
      <c r="B99" s="176"/>
      <c r="C99" s="176"/>
      <c r="D99" s="176"/>
      <c r="E99" s="176"/>
      <c r="F99" s="176"/>
      <c r="G99" s="176"/>
      <c r="H99" s="176"/>
      <c r="I99" s="176"/>
      <c r="J99" s="176"/>
      <c r="K99" s="178"/>
      <c r="L99" s="176"/>
      <c r="M99" s="176"/>
      <c r="N99" s="176"/>
      <c r="O99" s="176"/>
      <c r="P99" s="178"/>
      <c r="Q99" s="176"/>
      <c r="R99" s="182"/>
      <c r="S99" s="179"/>
      <c r="T99" s="159"/>
      <c r="U99" s="159"/>
      <c r="V99" s="159"/>
      <c r="W99" s="159"/>
      <c r="X99" s="159"/>
      <c r="Y99" s="159"/>
      <c r="Z99" s="159"/>
    </row>
    <row r="100" spans="1:26" s="174" customFormat="1">
      <c r="A100" s="175"/>
      <c r="B100" s="170"/>
      <c r="C100" s="170"/>
      <c r="D100" s="170"/>
      <c r="E100" s="170"/>
      <c r="F100" s="170"/>
      <c r="G100" s="170"/>
      <c r="H100" s="170"/>
      <c r="I100" s="170"/>
      <c r="J100" s="170"/>
      <c r="K100" s="172"/>
      <c r="L100" s="170"/>
      <c r="M100" s="170"/>
      <c r="N100" s="170"/>
      <c r="O100" s="170"/>
      <c r="P100" s="172"/>
      <c r="Q100" s="170"/>
      <c r="R100" s="181"/>
      <c r="S100" s="173"/>
      <c r="T100" s="159"/>
      <c r="U100" s="159"/>
      <c r="V100" s="159"/>
      <c r="W100" s="159"/>
      <c r="X100" s="159"/>
      <c r="Y100" s="159"/>
      <c r="Z100" s="159"/>
    </row>
    <row r="101" spans="1:26" s="174" customFormat="1">
      <c r="A101" s="180"/>
      <c r="B101" s="176"/>
      <c r="C101" s="176"/>
      <c r="D101" s="176"/>
      <c r="E101" s="176"/>
      <c r="F101" s="176"/>
      <c r="G101" s="176"/>
      <c r="H101" s="176"/>
      <c r="I101" s="176"/>
      <c r="J101" s="176"/>
      <c r="K101" s="178"/>
      <c r="L101" s="176"/>
      <c r="M101" s="176"/>
      <c r="N101" s="176"/>
      <c r="O101" s="176"/>
      <c r="P101" s="178"/>
      <c r="Q101" s="176"/>
      <c r="R101" s="182"/>
      <c r="S101" s="179"/>
      <c r="T101" s="159"/>
      <c r="U101" s="159"/>
      <c r="V101" s="159"/>
      <c r="W101" s="159"/>
      <c r="X101" s="159"/>
      <c r="Y101" s="159"/>
      <c r="Z101" s="159"/>
    </row>
    <row r="102" spans="1:26" s="174" customFormat="1">
      <c r="A102" s="169"/>
      <c r="B102" s="170"/>
      <c r="C102" s="170"/>
      <c r="D102" s="170"/>
      <c r="E102" s="170"/>
      <c r="F102" s="170"/>
      <c r="G102" s="170"/>
      <c r="H102" s="170"/>
      <c r="I102" s="170"/>
      <c r="J102" s="170"/>
      <c r="K102" s="172"/>
      <c r="L102" s="170"/>
      <c r="M102" s="170"/>
      <c r="N102" s="170"/>
      <c r="O102" s="170"/>
      <c r="P102" s="172"/>
      <c r="Q102" s="170"/>
      <c r="R102" s="181"/>
      <c r="S102" s="173"/>
      <c r="T102" s="159"/>
      <c r="U102" s="159"/>
      <c r="V102" s="159"/>
      <c r="W102" s="159"/>
      <c r="X102" s="159"/>
      <c r="Y102" s="159"/>
      <c r="Z102" s="159"/>
    </row>
    <row r="103" spans="1:26" s="174" customFormat="1">
      <c r="A103" s="175"/>
      <c r="B103" s="176"/>
      <c r="C103" s="176"/>
      <c r="D103" s="176"/>
      <c r="E103" s="176"/>
      <c r="F103" s="176"/>
      <c r="G103" s="176"/>
      <c r="H103" s="176"/>
      <c r="I103" s="176"/>
      <c r="J103" s="176"/>
      <c r="K103" s="178"/>
      <c r="L103" s="176"/>
      <c r="M103" s="176"/>
      <c r="N103" s="176"/>
      <c r="O103" s="176"/>
      <c r="P103" s="178"/>
      <c r="Q103" s="176"/>
      <c r="R103" s="182"/>
      <c r="S103" s="179"/>
      <c r="T103" s="159"/>
      <c r="U103" s="159"/>
      <c r="V103" s="159"/>
      <c r="W103" s="159"/>
      <c r="X103" s="159"/>
      <c r="Y103" s="159"/>
      <c r="Z103" s="159"/>
    </row>
    <row r="104" spans="1:26" s="174" customFormat="1">
      <c r="A104" s="175"/>
      <c r="B104" s="170"/>
      <c r="C104" s="170"/>
      <c r="D104" s="170"/>
      <c r="E104" s="170"/>
      <c r="F104" s="170"/>
      <c r="G104" s="170"/>
      <c r="H104" s="170"/>
      <c r="I104" s="170"/>
      <c r="J104" s="170"/>
      <c r="K104" s="172"/>
      <c r="L104" s="170"/>
      <c r="M104" s="170"/>
      <c r="N104" s="170"/>
      <c r="O104" s="170"/>
      <c r="P104" s="172"/>
      <c r="Q104" s="170"/>
      <c r="R104" s="181"/>
      <c r="S104" s="173"/>
      <c r="T104" s="159"/>
      <c r="U104" s="159"/>
      <c r="V104" s="159"/>
      <c r="W104" s="159"/>
      <c r="X104" s="159"/>
      <c r="Y104" s="159"/>
      <c r="Z104" s="159"/>
    </row>
    <row r="105" spans="1:26" s="174" customFormat="1">
      <c r="A105" s="175"/>
      <c r="B105" s="176"/>
      <c r="C105" s="176"/>
      <c r="D105" s="176"/>
      <c r="E105" s="176"/>
      <c r="F105" s="176"/>
      <c r="G105" s="176"/>
      <c r="H105" s="176"/>
      <c r="I105" s="176"/>
      <c r="J105" s="176"/>
      <c r="K105" s="178"/>
      <c r="L105" s="176"/>
      <c r="M105" s="176"/>
      <c r="N105" s="176"/>
      <c r="O105" s="176"/>
      <c r="P105" s="178"/>
      <c r="Q105" s="176"/>
      <c r="R105" s="182"/>
      <c r="S105" s="179"/>
      <c r="T105" s="159"/>
      <c r="U105" s="159"/>
      <c r="V105" s="159"/>
      <c r="W105" s="159"/>
      <c r="X105" s="159"/>
      <c r="Y105" s="159"/>
      <c r="Z105" s="159"/>
    </row>
    <row r="106" spans="1:26" s="174" customFormat="1">
      <c r="A106" s="175"/>
      <c r="B106" s="170"/>
      <c r="C106" s="170"/>
      <c r="D106" s="170"/>
      <c r="E106" s="170"/>
      <c r="F106" s="170"/>
      <c r="G106" s="170"/>
      <c r="H106" s="170"/>
      <c r="I106" s="170"/>
      <c r="J106" s="170"/>
      <c r="K106" s="172"/>
      <c r="L106" s="170"/>
      <c r="M106" s="170"/>
      <c r="N106" s="170"/>
      <c r="O106" s="170"/>
      <c r="P106" s="172"/>
      <c r="Q106" s="170"/>
      <c r="R106" s="181"/>
      <c r="S106" s="173"/>
      <c r="T106" s="159"/>
      <c r="U106" s="159"/>
      <c r="V106" s="159"/>
      <c r="W106" s="159"/>
      <c r="X106" s="159"/>
      <c r="Y106" s="159"/>
      <c r="Z106" s="159"/>
    </row>
    <row r="107" spans="1:26" s="174" customFormat="1">
      <c r="A107" s="175"/>
      <c r="B107" s="176"/>
      <c r="C107" s="176"/>
      <c r="D107" s="176"/>
      <c r="E107" s="176"/>
      <c r="F107" s="176"/>
      <c r="G107" s="176"/>
      <c r="H107" s="176"/>
      <c r="I107" s="176"/>
      <c r="J107" s="176"/>
      <c r="K107" s="178"/>
      <c r="L107" s="176"/>
      <c r="M107" s="176"/>
      <c r="N107" s="176"/>
      <c r="O107" s="176"/>
      <c r="P107" s="178"/>
      <c r="Q107" s="176"/>
      <c r="R107" s="182"/>
      <c r="S107" s="179"/>
      <c r="T107" s="159"/>
      <c r="U107" s="159"/>
      <c r="V107" s="159"/>
      <c r="W107" s="159"/>
      <c r="X107" s="159"/>
      <c r="Y107" s="159"/>
      <c r="Z107" s="159"/>
    </row>
    <row r="108" spans="1:26" s="174" customFormat="1">
      <c r="A108" s="175"/>
      <c r="B108" s="170"/>
      <c r="C108" s="170"/>
      <c r="D108" s="170"/>
      <c r="E108" s="170"/>
      <c r="F108" s="170"/>
      <c r="G108" s="170"/>
      <c r="H108" s="170"/>
      <c r="I108" s="170"/>
      <c r="J108" s="170"/>
      <c r="K108" s="172"/>
      <c r="L108" s="170"/>
      <c r="M108" s="170"/>
      <c r="N108" s="170"/>
      <c r="O108" s="170"/>
      <c r="P108" s="172"/>
      <c r="Q108" s="170"/>
      <c r="R108" s="181"/>
      <c r="S108" s="173"/>
      <c r="T108" s="159"/>
      <c r="U108" s="159"/>
      <c r="V108" s="159"/>
      <c r="W108" s="159"/>
      <c r="X108" s="159"/>
      <c r="Y108" s="159"/>
      <c r="Z108" s="159"/>
    </row>
    <row r="109" spans="1:26" s="174" customFormat="1">
      <c r="A109" s="180"/>
      <c r="B109" s="176"/>
      <c r="C109" s="176"/>
      <c r="D109" s="176"/>
      <c r="E109" s="176"/>
      <c r="F109" s="176"/>
      <c r="G109" s="176"/>
      <c r="H109" s="176"/>
      <c r="I109" s="176"/>
      <c r="J109" s="176"/>
      <c r="K109" s="178"/>
      <c r="L109" s="176"/>
      <c r="M109" s="176"/>
      <c r="N109" s="176"/>
      <c r="O109" s="176"/>
      <c r="P109" s="178"/>
      <c r="Q109" s="176"/>
      <c r="R109" s="182"/>
      <c r="S109" s="179"/>
      <c r="T109" s="159"/>
      <c r="U109" s="159"/>
      <c r="V109" s="159"/>
      <c r="W109" s="159"/>
      <c r="X109" s="159"/>
      <c r="Y109" s="159"/>
      <c r="Z109" s="159"/>
    </row>
    <row r="110" spans="1:26" s="174" customFormat="1">
      <c r="A110" s="169"/>
      <c r="B110" s="170"/>
      <c r="C110" s="170"/>
      <c r="D110" s="170"/>
      <c r="E110" s="170"/>
      <c r="F110" s="170"/>
      <c r="G110" s="170"/>
      <c r="H110" s="170"/>
      <c r="I110" s="170"/>
      <c r="J110" s="170"/>
      <c r="K110" s="172"/>
      <c r="L110" s="170"/>
      <c r="M110" s="170"/>
      <c r="N110" s="170"/>
      <c r="O110" s="170"/>
      <c r="P110" s="172"/>
      <c r="Q110" s="170"/>
      <c r="R110" s="181"/>
      <c r="S110" s="173"/>
      <c r="T110" s="159"/>
      <c r="U110" s="159"/>
      <c r="V110" s="159"/>
      <c r="W110" s="159"/>
      <c r="X110" s="159"/>
      <c r="Y110" s="159"/>
      <c r="Z110" s="159"/>
    </row>
    <row r="111" spans="1:26" s="174" customFormat="1">
      <c r="A111" s="175"/>
      <c r="B111" s="176"/>
      <c r="C111" s="176"/>
      <c r="D111" s="176"/>
      <c r="E111" s="176"/>
      <c r="F111" s="176"/>
      <c r="G111" s="176"/>
      <c r="H111" s="176"/>
      <c r="I111" s="176"/>
      <c r="J111" s="176"/>
      <c r="K111" s="178"/>
      <c r="L111" s="176"/>
      <c r="M111" s="176"/>
      <c r="N111" s="176"/>
      <c r="O111" s="176"/>
      <c r="P111" s="178"/>
      <c r="Q111" s="176"/>
      <c r="R111" s="182"/>
      <c r="S111" s="179"/>
      <c r="T111" s="159"/>
      <c r="U111" s="159"/>
      <c r="V111" s="159"/>
      <c r="W111" s="159"/>
      <c r="X111" s="159"/>
      <c r="Y111" s="159"/>
      <c r="Z111" s="159"/>
    </row>
    <row r="112" spans="1:26" s="174" customFormat="1">
      <c r="A112" s="175"/>
      <c r="B112" s="170"/>
      <c r="C112" s="170"/>
      <c r="D112" s="170"/>
      <c r="E112" s="170"/>
      <c r="F112" s="170"/>
      <c r="G112" s="170"/>
      <c r="H112" s="170"/>
      <c r="I112" s="170"/>
      <c r="J112" s="170"/>
      <c r="K112" s="172"/>
      <c r="L112" s="170"/>
      <c r="M112" s="170"/>
      <c r="N112" s="170"/>
      <c r="O112" s="170"/>
      <c r="P112" s="172"/>
      <c r="Q112" s="170"/>
      <c r="R112" s="181"/>
      <c r="S112" s="173"/>
      <c r="T112" s="159"/>
      <c r="U112" s="159"/>
      <c r="V112" s="159"/>
      <c r="W112" s="159"/>
      <c r="X112" s="159"/>
      <c r="Y112" s="159"/>
      <c r="Z112" s="159"/>
    </row>
    <row r="113" spans="1:26" s="174" customFormat="1">
      <c r="A113" s="175"/>
      <c r="B113" s="176"/>
      <c r="C113" s="176"/>
      <c r="D113" s="176"/>
      <c r="E113" s="176"/>
      <c r="F113" s="176"/>
      <c r="G113" s="176"/>
      <c r="H113" s="176"/>
      <c r="I113" s="176"/>
      <c r="J113" s="176"/>
      <c r="K113" s="178"/>
      <c r="L113" s="176"/>
      <c r="M113" s="176"/>
      <c r="N113" s="176"/>
      <c r="O113" s="176"/>
      <c r="P113" s="178"/>
      <c r="Q113" s="176"/>
      <c r="R113" s="182"/>
      <c r="S113" s="179"/>
      <c r="T113" s="159"/>
      <c r="U113" s="159"/>
      <c r="V113" s="159"/>
      <c r="W113" s="159"/>
      <c r="X113" s="159"/>
      <c r="Y113" s="159"/>
      <c r="Z113" s="159"/>
    </row>
    <row r="114" spans="1:26" s="174" customFormat="1">
      <c r="A114" s="175"/>
      <c r="B114" s="170"/>
      <c r="C114" s="170"/>
      <c r="D114" s="170"/>
      <c r="E114" s="170"/>
      <c r="F114" s="170"/>
      <c r="G114" s="170"/>
      <c r="H114" s="170"/>
      <c r="I114" s="170"/>
      <c r="J114" s="170"/>
      <c r="K114" s="172"/>
      <c r="L114" s="170"/>
      <c r="M114" s="170"/>
      <c r="N114" s="170"/>
      <c r="O114" s="170"/>
      <c r="P114" s="172"/>
      <c r="Q114" s="170"/>
      <c r="R114" s="181"/>
      <c r="S114" s="173"/>
      <c r="T114" s="159"/>
      <c r="U114" s="159"/>
      <c r="V114" s="159"/>
      <c r="W114" s="159"/>
      <c r="X114" s="159"/>
      <c r="Y114" s="159"/>
      <c r="Z114" s="159"/>
    </row>
    <row r="115" spans="1:26" s="174" customFormat="1">
      <c r="A115" s="175"/>
      <c r="B115" s="176"/>
      <c r="C115" s="176"/>
      <c r="D115" s="176"/>
      <c r="E115" s="176"/>
      <c r="F115" s="176"/>
      <c r="G115" s="176"/>
      <c r="H115" s="176"/>
      <c r="I115" s="176"/>
      <c r="J115" s="176"/>
      <c r="K115" s="178"/>
      <c r="L115" s="176"/>
      <c r="M115" s="176"/>
      <c r="N115" s="176"/>
      <c r="O115" s="176"/>
      <c r="P115" s="178"/>
      <c r="Q115" s="176"/>
      <c r="R115" s="182"/>
      <c r="S115" s="179"/>
      <c r="T115" s="159"/>
      <c r="U115" s="159"/>
      <c r="V115" s="159"/>
      <c r="W115" s="159"/>
      <c r="X115" s="159"/>
      <c r="Y115" s="159"/>
      <c r="Z115" s="159"/>
    </row>
    <row r="116" spans="1:26" s="174" customFormat="1">
      <c r="A116" s="175"/>
      <c r="B116" s="170"/>
      <c r="C116" s="170"/>
      <c r="D116" s="170"/>
      <c r="E116" s="170"/>
      <c r="F116" s="170"/>
      <c r="G116" s="170"/>
      <c r="H116" s="170"/>
      <c r="I116" s="170"/>
      <c r="J116" s="170"/>
      <c r="K116" s="172"/>
      <c r="L116" s="170"/>
      <c r="M116" s="170"/>
      <c r="N116" s="170"/>
      <c r="O116" s="170"/>
      <c r="P116" s="172"/>
      <c r="Q116" s="170"/>
      <c r="R116" s="181"/>
      <c r="S116" s="173"/>
      <c r="T116" s="159"/>
      <c r="U116" s="159"/>
      <c r="V116" s="159"/>
      <c r="W116" s="159"/>
      <c r="X116" s="159"/>
      <c r="Y116" s="159"/>
      <c r="Z116" s="159"/>
    </row>
    <row r="117" spans="1:26" s="174" customFormat="1">
      <c r="A117" s="180"/>
      <c r="B117" s="176"/>
      <c r="C117" s="176"/>
      <c r="D117" s="176"/>
      <c r="E117" s="176"/>
      <c r="F117" s="176"/>
      <c r="G117" s="176"/>
      <c r="H117" s="176"/>
      <c r="I117" s="176"/>
      <c r="J117" s="176"/>
      <c r="K117" s="178"/>
      <c r="L117" s="176"/>
      <c r="M117" s="176"/>
      <c r="N117" s="176"/>
      <c r="O117" s="176"/>
      <c r="P117" s="178"/>
      <c r="Q117" s="176"/>
      <c r="R117" s="182"/>
      <c r="S117" s="179"/>
      <c r="T117" s="159"/>
      <c r="U117" s="159"/>
      <c r="V117" s="159"/>
      <c r="W117" s="159"/>
      <c r="X117" s="159"/>
      <c r="Y117" s="159"/>
      <c r="Z117" s="159"/>
    </row>
    <row r="118" spans="1:26" s="174" customFormat="1">
      <c r="A118" s="169"/>
      <c r="B118" s="170"/>
      <c r="C118" s="170"/>
      <c r="D118" s="170"/>
      <c r="E118" s="170"/>
      <c r="F118" s="170"/>
      <c r="G118" s="170"/>
      <c r="H118" s="170"/>
      <c r="I118" s="170"/>
      <c r="J118" s="170"/>
      <c r="K118" s="172"/>
      <c r="L118" s="170"/>
      <c r="M118" s="170"/>
      <c r="N118" s="170"/>
      <c r="O118" s="170"/>
      <c r="P118" s="172"/>
      <c r="Q118" s="170"/>
      <c r="R118" s="181"/>
      <c r="S118" s="173"/>
      <c r="T118" s="159"/>
      <c r="U118" s="159"/>
      <c r="V118" s="159"/>
      <c r="W118" s="159"/>
      <c r="X118" s="159"/>
      <c r="Y118" s="159"/>
      <c r="Z118" s="159"/>
    </row>
    <row r="119" spans="1:26" s="174" customFormat="1">
      <c r="A119" s="175"/>
      <c r="B119" s="176"/>
      <c r="C119" s="176"/>
      <c r="D119" s="176"/>
      <c r="E119" s="176"/>
      <c r="F119" s="176"/>
      <c r="G119" s="176"/>
      <c r="H119" s="176"/>
      <c r="I119" s="176"/>
      <c r="J119" s="176"/>
      <c r="K119" s="178"/>
      <c r="L119" s="176"/>
      <c r="M119" s="176"/>
      <c r="N119" s="176"/>
      <c r="O119" s="176"/>
      <c r="P119" s="178"/>
      <c r="Q119" s="176"/>
      <c r="R119" s="182"/>
      <c r="S119" s="179"/>
      <c r="T119" s="159"/>
      <c r="U119" s="159"/>
      <c r="V119" s="159"/>
      <c r="W119" s="159"/>
      <c r="X119" s="159"/>
      <c r="Y119" s="159"/>
      <c r="Z119" s="159"/>
    </row>
    <row r="120" spans="1:26" s="174" customFormat="1">
      <c r="A120" s="175"/>
      <c r="B120" s="170"/>
      <c r="C120" s="170"/>
      <c r="D120" s="170"/>
      <c r="E120" s="170"/>
      <c r="F120" s="170"/>
      <c r="G120" s="170"/>
      <c r="H120" s="170"/>
      <c r="I120" s="170"/>
      <c r="J120" s="170"/>
      <c r="K120" s="172"/>
      <c r="L120" s="170"/>
      <c r="M120" s="170"/>
      <c r="N120" s="170"/>
      <c r="O120" s="170"/>
      <c r="P120" s="172"/>
      <c r="Q120" s="170"/>
      <c r="R120" s="181"/>
      <c r="S120" s="173"/>
      <c r="T120" s="159"/>
      <c r="U120" s="159"/>
      <c r="V120" s="159"/>
      <c r="W120" s="159"/>
      <c r="X120" s="159"/>
      <c r="Y120" s="159"/>
      <c r="Z120" s="159"/>
    </row>
    <row r="121" spans="1:26" s="174" customFormat="1">
      <c r="A121" s="175"/>
      <c r="B121" s="176"/>
      <c r="C121" s="176"/>
      <c r="D121" s="176"/>
      <c r="E121" s="176"/>
      <c r="F121" s="176"/>
      <c r="G121" s="176"/>
      <c r="H121" s="176"/>
      <c r="I121" s="176"/>
      <c r="J121" s="176"/>
      <c r="K121" s="178"/>
      <c r="L121" s="176"/>
      <c r="M121" s="176"/>
      <c r="N121" s="176"/>
      <c r="O121" s="176"/>
      <c r="P121" s="178"/>
      <c r="Q121" s="176"/>
      <c r="R121" s="182"/>
      <c r="S121" s="179"/>
      <c r="T121" s="159"/>
      <c r="U121" s="159"/>
      <c r="V121" s="159"/>
      <c r="W121" s="159"/>
      <c r="X121" s="159"/>
      <c r="Y121" s="159"/>
      <c r="Z121" s="159"/>
    </row>
    <row r="122" spans="1:26" s="174" customFormat="1">
      <c r="A122" s="175"/>
      <c r="B122" s="170"/>
      <c r="C122" s="170"/>
      <c r="D122" s="170"/>
      <c r="E122" s="170"/>
      <c r="F122" s="170"/>
      <c r="G122" s="170"/>
      <c r="H122" s="170"/>
      <c r="I122" s="170"/>
      <c r="J122" s="170"/>
      <c r="K122" s="172"/>
      <c r="L122" s="170"/>
      <c r="M122" s="170"/>
      <c r="N122" s="170"/>
      <c r="O122" s="170"/>
      <c r="P122" s="172"/>
      <c r="Q122" s="170"/>
      <c r="R122" s="181"/>
      <c r="S122" s="173"/>
      <c r="T122" s="159"/>
      <c r="U122" s="159"/>
      <c r="V122" s="159"/>
      <c r="W122" s="159"/>
      <c r="X122" s="159"/>
      <c r="Y122" s="159"/>
      <c r="Z122" s="159"/>
    </row>
    <row r="123" spans="1:26" s="174" customFormat="1">
      <c r="A123" s="175"/>
      <c r="B123" s="176"/>
      <c r="C123" s="176"/>
      <c r="D123" s="176"/>
      <c r="E123" s="176"/>
      <c r="F123" s="176"/>
      <c r="G123" s="176"/>
      <c r="H123" s="176"/>
      <c r="I123" s="176"/>
      <c r="J123" s="176"/>
      <c r="K123" s="178"/>
      <c r="L123" s="176"/>
      <c r="M123" s="176"/>
      <c r="N123" s="176"/>
      <c r="O123" s="176"/>
      <c r="P123" s="178"/>
      <c r="Q123" s="176"/>
      <c r="R123" s="182"/>
      <c r="S123" s="179"/>
      <c r="T123" s="159"/>
      <c r="U123" s="159"/>
      <c r="V123" s="159"/>
      <c r="W123" s="159"/>
      <c r="X123" s="159"/>
      <c r="Y123" s="159"/>
      <c r="Z123" s="159"/>
    </row>
    <row r="124" spans="1:26" s="174" customFormat="1">
      <c r="A124" s="175"/>
      <c r="B124" s="170"/>
      <c r="C124" s="170"/>
      <c r="D124" s="170"/>
      <c r="E124" s="170"/>
      <c r="F124" s="170"/>
      <c r="G124" s="170"/>
      <c r="H124" s="170"/>
      <c r="I124" s="170"/>
      <c r="J124" s="170"/>
      <c r="K124" s="172"/>
      <c r="L124" s="170"/>
      <c r="M124" s="170"/>
      <c r="N124" s="170"/>
      <c r="O124" s="170"/>
      <c r="P124" s="172"/>
      <c r="Q124" s="170"/>
      <c r="R124" s="181"/>
      <c r="S124" s="173"/>
      <c r="T124" s="159"/>
      <c r="U124" s="159"/>
      <c r="V124" s="159"/>
      <c r="W124" s="159"/>
      <c r="X124" s="159"/>
      <c r="Y124" s="159"/>
      <c r="Z124" s="159"/>
    </row>
    <row r="125" spans="1:26" s="174" customFormat="1">
      <c r="A125" s="180"/>
      <c r="B125" s="176"/>
      <c r="C125" s="176"/>
      <c r="D125" s="176"/>
      <c r="E125" s="176"/>
      <c r="F125" s="176"/>
      <c r="G125" s="176"/>
      <c r="H125" s="176"/>
      <c r="I125" s="176"/>
      <c r="J125" s="176"/>
      <c r="K125" s="178"/>
      <c r="L125" s="176"/>
      <c r="M125" s="176"/>
      <c r="N125" s="176"/>
      <c r="O125" s="176"/>
      <c r="P125" s="178"/>
      <c r="Q125" s="176"/>
      <c r="R125" s="182"/>
      <c r="S125" s="179"/>
      <c r="T125" s="159"/>
      <c r="U125" s="159"/>
      <c r="V125" s="159"/>
      <c r="W125" s="159"/>
      <c r="X125" s="159"/>
      <c r="Y125" s="159"/>
      <c r="Z125" s="159"/>
    </row>
    <row r="126" spans="1:26" s="174" customFormat="1">
      <c r="A126" s="169"/>
      <c r="B126" s="170"/>
      <c r="C126" s="170"/>
      <c r="D126" s="170"/>
      <c r="E126" s="170"/>
      <c r="F126" s="170"/>
      <c r="G126" s="170"/>
      <c r="H126" s="170"/>
      <c r="I126" s="170"/>
      <c r="J126" s="170"/>
      <c r="K126" s="172"/>
      <c r="L126" s="170"/>
      <c r="M126" s="170"/>
      <c r="N126" s="170"/>
      <c r="O126" s="170"/>
      <c r="P126" s="172"/>
      <c r="Q126" s="170"/>
      <c r="R126" s="181"/>
      <c r="S126" s="173"/>
      <c r="T126" s="159"/>
      <c r="U126" s="159"/>
      <c r="V126" s="159"/>
      <c r="W126" s="159"/>
      <c r="X126" s="159"/>
      <c r="Y126" s="159"/>
      <c r="Z126" s="159"/>
    </row>
    <row r="127" spans="1:26" s="174" customFormat="1">
      <c r="A127" s="175"/>
      <c r="B127" s="176"/>
      <c r="C127" s="176"/>
      <c r="D127" s="176"/>
      <c r="E127" s="176"/>
      <c r="F127" s="176"/>
      <c r="G127" s="176"/>
      <c r="H127" s="176"/>
      <c r="I127" s="176"/>
      <c r="J127" s="176"/>
      <c r="K127" s="178"/>
      <c r="L127" s="176"/>
      <c r="M127" s="176"/>
      <c r="N127" s="176"/>
      <c r="O127" s="176"/>
      <c r="P127" s="178"/>
      <c r="Q127" s="176"/>
      <c r="R127" s="182"/>
      <c r="S127" s="179"/>
      <c r="T127" s="159"/>
      <c r="U127" s="159"/>
      <c r="V127" s="159"/>
      <c r="W127" s="159"/>
      <c r="X127" s="159"/>
      <c r="Y127" s="159"/>
      <c r="Z127" s="159"/>
    </row>
    <row r="128" spans="1:26" s="174" customFormat="1">
      <c r="A128" s="175"/>
      <c r="B128" s="170"/>
      <c r="C128" s="170"/>
      <c r="D128" s="170"/>
      <c r="E128" s="170"/>
      <c r="F128" s="170"/>
      <c r="G128" s="170"/>
      <c r="H128" s="170"/>
      <c r="I128" s="170"/>
      <c r="J128" s="170"/>
      <c r="K128" s="172"/>
      <c r="L128" s="170"/>
      <c r="M128" s="170"/>
      <c r="N128" s="170"/>
      <c r="O128" s="170"/>
      <c r="P128" s="172"/>
      <c r="Q128" s="170"/>
      <c r="R128" s="181"/>
      <c r="S128" s="173"/>
      <c r="T128" s="159"/>
      <c r="U128" s="159"/>
      <c r="V128" s="159"/>
      <c r="W128" s="159"/>
      <c r="X128" s="159"/>
      <c r="Y128" s="159"/>
      <c r="Z128" s="159"/>
    </row>
    <row r="129" spans="1:26" s="174" customFormat="1">
      <c r="A129" s="175"/>
      <c r="B129" s="176"/>
      <c r="C129" s="176"/>
      <c r="D129" s="176"/>
      <c r="E129" s="176"/>
      <c r="F129" s="176"/>
      <c r="G129" s="176"/>
      <c r="H129" s="176"/>
      <c r="I129" s="176"/>
      <c r="J129" s="176"/>
      <c r="K129" s="178"/>
      <c r="L129" s="176"/>
      <c r="M129" s="176"/>
      <c r="N129" s="176"/>
      <c r="O129" s="176"/>
      <c r="P129" s="178"/>
      <c r="Q129" s="176"/>
      <c r="R129" s="182"/>
      <c r="S129" s="179"/>
      <c r="T129" s="159"/>
      <c r="U129" s="159"/>
      <c r="V129" s="159"/>
      <c r="W129" s="159"/>
      <c r="X129" s="159"/>
      <c r="Y129" s="159"/>
      <c r="Z129" s="159"/>
    </row>
    <row r="130" spans="1:26" s="174" customFormat="1">
      <c r="A130" s="175"/>
      <c r="B130" s="170"/>
      <c r="C130" s="170"/>
      <c r="D130" s="170"/>
      <c r="E130" s="170"/>
      <c r="F130" s="170"/>
      <c r="G130" s="170"/>
      <c r="H130" s="170"/>
      <c r="I130" s="170"/>
      <c r="J130" s="170"/>
      <c r="K130" s="172"/>
      <c r="L130" s="170"/>
      <c r="M130" s="170"/>
      <c r="N130" s="170"/>
      <c r="O130" s="170"/>
      <c r="P130" s="172"/>
      <c r="Q130" s="170"/>
      <c r="R130" s="181"/>
      <c r="S130" s="173"/>
      <c r="T130" s="159"/>
      <c r="U130" s="159"/>
      <c r="V130" s="159"/>
      <c r="W130" s="159"/>
      <c r="X130" s="159"/>
      <c r="Y130" s="159"/>
      <c r="Z130" s="159"/>
    </row>
    <row r="131" spans="1:26" s="174" customFormat="1">
      <c r="A131" s="175"/>
      <c r="B131" s="176"/>
      <c r="C131" s="176"/>
      <c r="D131" s="176"/>
      <c r="E131" s="176"/>
      <c r="F131" s="176"/>
      <c r="G131" s="176"/>
      <c r="H131" s="176"/>
      <c r="I131" s="176"/>
      <c r="J131" s="176"/>
      <c r="K131" s="178"/>
      <c r="L131" s="176"/>
      <c r="M131" s="176"/>
      <c r="N131" s="176"/>
      <c r="O131" s="176"/>
      <c r="P131" s="178"/>
      <c r="Q131" s="176"/>
      <c r="R131" s="182"/>
      <c r="S131" s="179"/>
      <c r="T131" s="159"/>
      <c r="U131" s="159"/>
      <c r="V131" s="159"/>
      <c r="W131" s="159"/>
      <c r="X131" s="159"/>
      <c r="Y131" s="159"/>
      <c r="Z131" s="159"/>
    </row>
    <row r="132" spans="1:26" s="174" customFormat="1">
      <c r="A132" s="175"/>
      <c r="B132" s="170"/>
      <c r="C132" s="170"/>
      <c r="D132" s="170"/>
      <c r="E132" s="170"/>
      <c r="F132" s="170"/>
      <c r="G132" s="170"/>
      <c r="H132" s="170"/>
      <c r="I132" s="170"/>
      <c r="J132" s="170"/>
      <c r="K132" s="172"/>
      <c r="L132" s="170"/>
      <c r="M132" s="170"/>
      <c r="N132" s="170"/>
      <c r="O132" s="170"/>
      <c r="P132" s="172"/>
      <c r="Q132" s="170"/>
      <c r="R132" s="181"/>
      <c r="S132" s="173"/>
      <c r="T132" s="159"/>
      <c r="U132" s="159"/>
      <c r="V132" s="159"/>
      <c r="W132" s="159"/>
      <c r="X132" s="159"/>
      <c r="Y132" s="159"/>
      <c r="Z132" s="159"/>
    </row>
    <row r="133" spans="1:26" s="174" customFormat="1">
      <c r="A133" s="180"/>
      <c r="B133" s="176"/>
      <c r="C133" s="176"/>
      <c r="D133" s="176"/>
      <c r="E133" s="176"/>
      <c r="F133" s="176"/>
      <c r="G133" s="176"/>
      <c r="H133" s="176"/>
      <c r="I133" s="176"/>
      <c r="J133" s="176"/>
      <c r="K133" s="178"/>
      <c r="L133" s="176"/>
      <c r="M133" s="176"/>
      <c r="N133" s="176"/>
      <c r="O133" s="176"/>
      <c r="P133" s="178"/>
      <c r="Q133" s="176"/>
      <c r="R133" s="182"/>
      <c r="S133" s="179"/>
      <c r="T133" s="159"/>
      <c r="U133" s="159"/>
      <c r="V133" s="159"/>
      <c r="W133" s="159"/>
      <c r="X133" s="159"/>
      <c r="Y133" s="159"/>
      <c r="Z133" s="159"/>
    </row>
    <row r="134" spans="1:26" s="174" customFormat="1">
      <c r="B134" s="185"/>
      <c r="P134" s="186"/>
      <c r="S134" s="187"/>
      <c r="T134" s="187"/>
      <c r="U134" s="187"/>
      <c r="V134" s="187"/>
    </row>
    <row r="135" spans="1:26" s="174" customFormat="1">
      <c r="S135" s="187"/>
      <c r="T135" s="187"/>
      <c r="U135" s="187"/>
      <c r="V135" s="187"/>
    </row>
    <row r="136" spans="1:26" s="174" customFormat="1">
      <c r="S136" s="187"/>
      <c r="T136" s="187"/>
      <c r="U136" s="187"/>
      <c r="V136" s="187"/>
    </row>
    <row r="137" spans="1:26" s="174" customFormat="1">
      <c r="B137" s="185"/>
      <c r="P137" s="186"/>
      <c r="S137" s="187"/>
      <c r="T137" s="187"/>
      <c r="U137" s="187"/>
      <c r="V137" s="187"/>
    </row>
    <row r="138" spans="1:26" s="174" customFormat="1">
      <c r="S138" s="187"/>
      <c r="T138" s="187"/>
      <c r="U138" s="187"/>
      <c r="V138" s="187"/>
    </row>
    <row r="139" spans="1:26" s="174" customFormat="1">
      <c r="S139" s="187"/>
      <c r="T139" s="187"/>
      <c r="U139" s="187"/>
      <c r="V139" s="187"/>
    </row>
    <row r="140" spans="1:26" s="174" customFormat="1">
      <c r="B140" s="185"/>
      <c r="P140" s="186"/>
      <c r="S140" s="187"/>
      <c r="T140" s="187"/>
      <c r="U140" s="187"/>
      <c r="V140" s="187"/>
    </row>
    <row r="141" spans="1:26" s="174" customFormat="1">
      <c r="S141" s="187"/>
      <c r="T141" s="187"/>
      <c r="U141" s="187"/>
      <c r="V141" s="187"/>
    </row>
    <row r="142" spans="1:26" s="174" customFormat="1">
      <c r="S142" s="187"/>
      <c r="T142" s="187"/>
      <c r="U142" s="187"/>
      <c r="V142" s="187"/>
    </row>
    <row r="143" spans="1:26" s="174" customFormat="1">
      <c r="B143" s="185"/>
      <c r="P143" s="186"/>
      <c r="S143" s="187"/>
      <c r="T143" s="187"/>
      <c r="U143" s="187"/>
      <c r="V143" s="187"/>
    </row>
    <row r="144" spans="1:26" s="174" customFormat="1">
      <c r="S144" s="187"/>
      <c r="T144" s="187"/>
      <c r="U144" s="187"/>
      <c r="V144" s="187"/>
    </row>
    <row r="145" spans="2:22" s="174" customFormat="1">
      <c r="S145" s="187"/>
      <c r="T145" s="187"/>
      <c r="U145" s="187"/>
      <c r="V145" s="187"/>
    </row>
    <row r="146" spans="2:22" s="174" customFormat="1">
      <c r="B146" s="185"/>
      <c r="P146" s="186"/>
      <c r="S146" s="187"/>
      <c r="T146" s="187"/>
      <c r="U146" s="187"/>
      <c r="V146" s="187"/>
    </row>
    <row r="147" spans="2:22" s="174" customFormat="1">
      <c r="S147" s="187"/>
      <c r="T147" s="187"/>
      <c r="U147" s="187"/>
      <c r="V147" s="187"/>
    </row>
    <row r="148" spans="2:22" s="174" customFormat="1">
      <c r="S148" s="187"/>
      <c r="T148" s="187"/>
      <c r="U148" s="187"/>
      <c r="V148" s="187"/>
    </row>
    <row r="149" spans="2:22" s="174" customFormat="1">
      <c r="B149" s="185"/>
      <c r="P149" s="186"/>
      <c r="S149" s="187"/>
      <c r="T149" s="187"/>
      <c r="U149" s="187"/>
      <c r="V149" s="187"/>
    </row>
    <row r="150" spans="2:22" s="174" customFormat="1">
      <c r="S150" s="187"/>
      <c r="T150" s="187"/>
      <c r="U150" s="187"/>
      <c r="V150" s="187"/>
    </row>
    <row r="151" spans="2:22" s="174" customFormat="1">
      <c r="S151" s="187"/>
      <c r="T151" s="187"/>
      <c r="U151" s="187"/>
      <c r="V151" s="187"/>
    </row>
    <row r="152" spans="2:22" s="174" customFormat="1">
      <c r="B152" s="185"/>
      <c r="P152" s="186"/>
      <c r="S152" s="187"/>
      <c r="T152" s="187"/>
      <c r="U152" s="187"/>
      <c r="V152" s="187"/>
    </row>
    <row r="153" spans="2:22" s="174" customFormat="1">
      <c r="S153" s="187"/>
      <c r="T153" s="187"/>
      <c r="U153" s="187"/>
      <c r="V153" s="187"/>
    </row>
    <row r="154" spans="2:22" s="174" customFormat="1">
      <c r="S154" s="187"/>
      <c r="T154" s="187"/>
      <c r="U154" s="187"/>
      <c r="V154" s="187"/>
    </row>
    <row r="155" spans="2:22" s="174" customFormat="1">
      <c r="B155" s="185"/>
      <c r="P155" s="186"/>
      <c r="S155" s="187"/>
      <c r="T155" s="187"/>
      <c r="U155" s="187"/>
      <c r="V155" s="187"/>
    </row>
    <row r="156" spans="2:22" s="174" customFormat="1">
      <c r="S156" s="187"/>
      <c r="T156" s="187"/>
      <c r="U156" s="187"/>
      <c r="V156" s="187"/>
    </row>
    <row r="157" spans="2:22" s="174" customFormat="1">
      <c r="S157" s="187"/>
      <c r="T157" s="187"/>
      <c r="U157" s="187"/>
      <c r="V157" s="187"/>
    </row>
    <row r="158" spans="2:22" s="174" customFormat="1">
      <c r="B158" s="185"/>
      <c r="P158" s="186"/>
      <c r="S158" s="187"/>
      <c r="T158" s="187"/>
      <c r="U158" s="187"/>
      <c r="V158" s="187"/>
    </row>
    <row r="159" spans="2:22" s="174" customFormat="1">
      <c r="S159" s="187"/>
      <c r="T159" s="187"/>
      <c r="U159" s="187"/>
      <c r="V159" s="187"/>
    </row>
    <row r="160" spans="2:22" s="174" customFormat="1">
      <c r="S160" s="187"/>
      <c r="T160" s="187"/>
      <c r="U160" s="187"/>
      <c r="V160" s="187"/>
    </row>
    <row r="161" spans="2:22" s="174" customFormat="1">
      <c r="B161" s="185"/>
      <c r="P161" s="186"/>
      <c r="S161" s="187"/>
      <c r="T161" s="187"/>
      <c r="U161" s="187"/>
      <c r="V161" s="187"/>
    </row>
    <row r="162" spans="2:22" s="174" customFormat="1">
      <c r="S162" s="187"/>
      <c r="T162" s="187"/>
      <c r="U162" s="187"/>
      <c r="V162" s="187"/>
    </row>
    <row r="163" spans="2:22" s="174" customFormat="1">
      <c r="S163" s="187"/>
      <c r="T163" s="187"/>
      <c r="U163" s="187"/>
      <c r="V163" s="187"/>
    </row>
    <row r="164" spans="2:22" s="174" customFormat="1">
      <c r="B164" s="185"/>
      <c r="P164" s="186"/>
      <c r="S164" s="187"/>
      <c r="T164" s="187"/>
      <c r="U164" s="187"/>
      <c r="V164" s="187"/>
    </row>
    <row r="165" spans="2:22" s="174" customFormat="1">
      <c r="S165" s="187"/>
      <c r="T165" s="187"/>
      <c r="U165" s="187"/>
      <c r="V165" s="187"/>
    </row>
    <row r="166" spans="2:22" s="174" customFormat="1">
      <c r="S166" s="187"/>
      <c r="T166" s="187"/>
      <c r="U166" s="187"/>
      <c r="V166" s="187"/>
    </row>
    <row r="167" spans="2:22" s="174" customFormat="1">
      <c r="B167" s="185"/>
      <c r="P167" s="186"/>
      <c r="S167" s="187"/>
      <c r="T167" s="187"/>
      <c r="U167" s="187"/>
      <c r="V167" s="187"/>
    </row>
    <row r="168" spans="2:22" s="174" customFormat="1">
      <c r="S168" s="187"/>
      <c r="T168" s="187"/>
      <c r="U168" s="187"/>
      <c r="V168" s="187"/>
    </row>
    <row r="169" spans="2:22" s="174" customFormat="1">
      <c r="S169" s="187"/>
      <c r="T169" s="187"/>
      <c r="U169" s="187"/>
      <c r="V169" s="187"/>
    </row>
    <row r="170" spans="2:22" s="174" customFormat="1">
      <c r="B170" s="185"/>
      <c r="P170" s="186"/>
      <c r="S170" s="187"/>
      <c r="T170" s="187"/>
      <c r="U170" s="187"/>
      <c r="V170" s="187"/>
    </row>
    <row r="171" spans="2:22" s="174" customFormat="1">
      <c r="S171" s="187"/>
      <c r="T171" s="187"/>
      <c r="U171" s="187"/>
      <c r="V171" s="187"/>
    </row>
    <row r="172" spans="2:22" s="174" customFormat="1">
      <c r="S172" s="187"/>
      <c r="T172" s="187"/>
      <c r="U172" s="187"/>
      <c r="V172" s="187"/>
    </row>
    <row r="173" spans="2:22" s="174" customFormat="1">
      <c r="B173" s="185"/>
      <c r="P173" s="186"/>
      <c r="S173" s="187"/>
      <c r="T173" s="187"/>
      <c r="U173" s="187"/>
      <c r="V173" s="187"/>
    </row>
    <row r="174" spans="2:22" s="174" customFormat="1">
      <c r="S174" s="187"/>
      <c r="T174" s="187"/>
      <c r="U174" s="187"/>
      <c r="V174" s="187"/>
    </row>
    <row r="175" spans="2:22" s="174" customFormat="1">
      <c r="S175" s="187"/>
      <c r="T175" s="187"/>
      <c r="U175" s="187"/>
      <c r="V175" s="187"/>
    </row>
    <row r="176" spans="2:22" s="174" customFormat="1">
      <c r="B176" s="185"/>
      <c r="P176" s="186"/>
      <c r="S176" s="187"/>
      <c r="T176" s="187"/>
      <c r="U176" s="187"/>
      <c r="V176" s="187"/>
    </row>
    <row r="177" spans="2:22" s="174" customFormat="1">
      <c r="S177" s="187"/>
      <c r="T177" s="187"/>
      <c r="U177" s="187"/>
      <c r="V177" s="187"/>
    </row>
    <row r="178" spans="2:22" s="174" customFormat="1">
      <c r="S178" s="187"/>
      <c r="T178" s="187"/>
      <c r="U178" s="187"/>
      <c r="V178" s="187"/>
    </row>
    <row r="179" spans="2:22" s="174" customFormat="1">
      <c r="B179" s="185"/>
      <c r="P179" s="186"/>
      <c r="S179" s="187"/>
      <c r="T179" s="187"/>
      <c r="U179" s="187"/>
      <c r="V179" s="187"/>
    </row>
    <row r="180" spans="2:22" s="174" customFormat="1">
      <c r="S180" s="187"/>
      <c r="T180" s="187"/>
      <c r="U180" s="187"/>
      <c r="V180" s="187"/>
    </row>
    <row r="181" spans="2:22" s="174" customFormat="1">
      <c r="S181" s="187"/>
      <c r="T181" s="187"/>
      <c r="U181" s="187"/>
      <c r="V181" s="187"/>
    </row>
    <row r="182" spans="2:22" s="174" customFormat="1">
      <c r="B182" s="185"/>
      <c r="P182" s="186"/>
      <c r="S182" s="187"/>
      <c r="T182" s="187"/>
      <c r="U182" s="187"/>
      <c r="V182" s="187"/>
    </row>
    <row r="183" spans="2:22" s="174" customFormat="1">
      <c r="S183" s="187"/>
      <c r="T183" s="187"/>
      <c r="U183" s="187"/>
      <c r="V183" s="187"/>
    </row>
    <row r="184" spans="2:22" s="174" customFormat="1">
      <c r="S184" s="187"/>
      <c r="T184" s="187"/>
      <c r="U184" s="187"/>
      <c r="V184" s="187"/>
    </row>
    <row r="185" spans="2:22" s="174" customFormat="1">
      <c r="B185" s="185"/>
      <c r="P185" s="186"/>
      <c r="S185" s="187"/>
      <c r="T185" s="187"/>
      <c r="U185" s="187"/>
      <c r="V185" s="187"/>
    </row>
    <row r="186" spans="2:22" s="174" customFormat="1">
      <c r="S186" s="187"/>
      <c r="T186" s="187"/>
      <c r="U186" s="187"/>
      <c r="V186" s="187"/>
    </row>
    <row r="187" spans="2:22" s="174" customFormat="1">
      <c r="S187" s="187"/>
      <c r="T187" s="187"/>
      <c r="U187" s="187"/>
      <c r="V187" s="187"/>
    </row>
    <row r="188" spans="2:22" s="174" customFormat="1">
      <c r="B188" s="185"/>
      <c r="P188" s="186"/>
      <c r="S188" s="187"/>
      <c r="T188" s="187"/>
      <c r="U188" s="187"/>
      <c r="V188" s="187"/>
    </row>
    <row r="189" spans="2:22" s="174" customFormat="1">
      <c r="S189" s="187"/>
      <c r="T189" s="187"/>
      <c r="U189" s="187"/>
      <c r="V189" s="187"/>
    </row>
    <row r="190" spans="2:22" s="174" customFormat="1">
      <c r="S190" s="187"/>
      <c r="T190" s="187"/>
      <c r="U190" s="187"/>
      <c r="V190" s="187"/>
    </row>
    <row r="191" spans="2:22" s="174" customFormat="1">
      <c r="B191" s="185"/>
      <c r="P191" s="186"/>
      <c r="S191" s="187"/>
      <c r="T191" s="187"/>
      <c r="U191" s="187"/>
      <c r="V191" s="187"/>
    </row>
    <row r="192" spans="2:22" s="174" customFormat="1">
      <c r="S192" s="187"/>
      <c r="T192" s="187"/>
      <c r="U192" s="187"/>
      <c r="V192" s="187"/>
    </row>
    <row r="193" spans="2:22" s="174" customFormat="1">
      <c r="S193" s="187"/>
      <c r="T193" s="187"/>
      <c r="U193" s="187"/>
      <c r="V193" s="187"/>
    </row>
    <row r="194" spans="2:22" s="174" customFormat="1">
      <c r="B194" s="185"/>
      <c r="P194" s="186"/>
      <c r="S194" s="187"/>
      <c r="T194" s="187"/>
      <c r="U194" s="187"/>
      <c r="V194" s="187"/>
    </row>
    <row r="195" spans="2:22" s="174" customFormat="1">
      <c r="S195" s="187"/>
      <c r="T195" s="187"/>
      <c r="U195" s="187"/>
      <c r="V195" s="187"/>
    </row>
    <row r="196" spans="2:22" s="174" customFormat="1">
      <c r="S196" s="187"/>
      <c r="T196" s="187"/>
      <c r="U196" s="187"/>
      <c r="V196" s="187"/>
    </row>
    <row r="197" spans="2:22" s="174" customFormat="1">
      <c r="B197" s="185"/>
      <c r="P197" s="186"/>
      <c r="S197" s="187"/>
      <c r="T197" s="187"/>
      <c r="U197" s="187"/>
      <c r="V197" s="187"/>
    </row>
    <row r="198" spans="2:22" s="174" customFormat="1">
      <c r="S198" s="187"/>
      <c r="T198" s="187"/>
      <c r="U198" s="187"/>
      <c r="V198" s="187"/>
    </row>
    <row r="199" spans="2:22" s="174" customFormat="1">
      <c r="S199" s="187"/>
      <c r="T199" s="187"/>
      <c r="U199" s="187"/>
      <c r="V199" s="187"/>
    </row>
    <row r="200" spans="2:22" s="174" customFormat="1">
      <c r="B200" s="185"/>
      <c r="P200" s="186"/>
      <c r="S200" s="187"/>
      <c r="T200" s="187"/>
      <c r="U200" s="187"/>
      <c r="V200" s="187"/>
    </row>
    <row r="201" spans="2:22" s="174" customFormat="1">
      <c r="S201" s="187"/>
      <c r="T201" s="187"/>
      <c r="U201" s="187"/>
      <c r="V201" s="187"/>
    </row>
    <row r="202" spans="2:22" s="174" customFormat="1">
      <c r="S202" s="187"/>
      <c r="T202" s="187"/>
      <c r="U202" s="187"/>
      <c r="V202" s="187"/>
    </row>
    <row r="203" spans="2:22" s="174" customFormat="1">
      <c r="B203" s="185"/>
      <c r="P203" s="186"/>
      <c r="S203" s="187"/>
      <c r="T203" s="187"/>
      <c r="U203" s="187"/>
      <c r="V203" s="187"/>
    </row>
    <row r="204" spans="2:22" s="174" customFormat="1">
      <c r="S204" s="187"/>
      <c r="T204" s="187"/>
      <c r="U204" s="187"/>
      <c r="V204" s="187"/>
    </row>
    <row r="205" spans="2:22" s="174" customFormat="1">
      <c r="S205" s="187"/>
      <c r="T205" s="187"/>
      <c r="U205" s="187"/>
      <c r="V205" s="187"/>
    </row>
    <row r="206" spans="2:22" s="174" customFormat="1">
      <c r="B206" s="185"/>
      <c r="P206" s="186"/>
      <c r="S206" s="187"/>
      <c r="T206" s="187"/>
      <c r="U206" s="187"/>
      <c r="V206" s="187"/>
    </row>
    <row r="207" spans="2:22" s="174" customFormat="1">
      <c r="S207" s="187"/>
      <c r="T207" s="187"/>
      <c r="U207" s="187"/>
      <c r="V207" s="187"/>
    </row>
    <row r="208" spans="2:22" s="174" customFormat="1">
      <c r="S208" s="187"/>
      <c r="T208" s="187"/>
      <c r="U208" s="187"/>
      <c r="V208" s="187"/>
    </row>
    <row r="209" spans="2:22" s="174" customFormat="1">
      <c r="B209" s="185"/>
      <c r="P209" s="186"/>
      <c r="S209" s="187"/>
      <c r="T209" s="187"/>
      <c r="U209" s="187"/>
      <c r="V209" s="187"/>
    </row>
    <row r="210" spans="2:22" s="174" customFormat="1">
      <c r="S210" s="187"/>
      <c r="T210" s="187"/>
      <c r="U210" s="187"/>
      <c r="V210" s="187"/>
    </row>
    <row r="211" spans="2:22" s="174" customFormat="1">
      <c r="S211" s="187"/>
      <c r="T211" s="187"/>
      <c r="U211" s="187"/>
      <c r="V211" s="187"/>
    </row>
    <row r="212" spans="2:22" s="174" customFormat="1">
      <c r="B212" s="185"/>
      <c r="P212" s="186"/>
      <c r="S212" s="187"/>
      <c r="T212" s="187"/>
      <c r="U212" s="187"/>
      <c r="V212" s="187"/>
    </row>
    <row r="213" spans="2:22" s="174" customFormat="1">
      <c r="S213" s="187"/>
      <c r="T213" s="187"/>
      <c r="U213" s="187"/>
      <c r="V213" s="187"/>
    </row>
    <row r="214" spans="2:22" s="174" customFormat="1">
      <c r="S214" s="187"/>
      <c r="T214" s="187"/>
      <c r="U214" s="187"/>
      <c r="V214" s="187"/>
    </row>
    <row r="215" spans="2:22" s="174" customFormat="1">
      <c r="B215" s="185"/>
      <c r="P215" s="186"/>
      <c r="S215" s="187"/>
      <c r="T215" s="187"/>
      <c r="U215" s="187"/>
      <c r="V215" s="187"/>
    </row>
    <row r="216" spans="2:22" s="174" customFormat="1">
      <c r="S216" s="187"/>
      <c r="T216" s="187"/>
      <c r="U216" s="187"/>
      <c r="V216" s="187"/>
    </row>
    <row r="217" spans="2:22" s="174" customFormat="1">
      <c r="S217" s="187"/>
      <c r="T217" s="187"/>
      <c r="U217" s="187"/>
      <c r="V217" s="187"/>
    </row>
    <row r="218" spans="2:22" s="174" customFormat="1">
      <c r="B218" s="185"/>
      <c r="P218" s="186"/>
      <c r="S218" s="187"/>
      <c r="T218" s="187"/>
      <c r="U218" s="187"/>
      <c r="V218" s="187"/>
    </row>
    <row r="219" spans="2:22" s="174" customFormat="1">
      <c r="S219" s="187"/>
      <c r="T219" s="187"/>
      <c r="U219" s="187"/>
      <c r="V219" s="187"/>
    </row>
    <row r="220" spans="2:22" s="174" customFormat="1">
      <c r="S220" s="187"/>
      <c r="T220" s="187"/>
      <c r="U220" s="187"/>
      <c r="V220" s="187"/>
    </row>
    <row r="221" spans="2:22" s="174" customFormat="1">
      <c r="B221" s="185"/>
      <c r="P221" s="186"/>
      <c r="S221" s="187"/>
      <c r="T221" s="187"/>
      <c r="U221" s="187"/>
      <c r="V221" s="187"/>
    </row>
    <row r="222" spans="2:22" s="174" customFormat="1">
      <c r="S222" s="187"/>
      <c r="T222" s="187"/>
      <c r="U222" s="187"/>
      <c r="V222" s="187"/>
    </row>
    <row r="223" spans="2:22" s="174" customFormat="1">
      <c r="S223" s="187"/>
      <c r="T223" s="187"/>
      <c r="U223" s="187"/>
      <c r="V223" s="187"/>
    </row>
    <row r="224" spans="2:22" s="174" customFormat="1">
      <c r="B224" s="185"/>
      <c r="P224" s="186"/>
      <c r="S224" s="187"/>
      <c r="T224" s="187"/>
      <c r="U224" s="187"/>
      <c r="V224" s="187"/>
    </row>
    <row r="225" spans="2:22" s="174" customFormat="1">
      <c r="S225" s="187"/>
      <c r="T225" s="187"/>
      <c r="U225" s="187"/>
      <c r="V225" s="187"/>
    </row>
    <row r="226" spans="2:22" s="174" customFormat="1">
      <c r="S226" s="187"/>
      <c r="T226" s="187"/>
      <c r="U226" s="187"/>
      <c r="V226" s="187"/>
    </row>
    <row r="227" spans="2:22" s="174" customFormat="1">
      <c r="B227" s="185"/>
      <c r="P227" s="186"/>
      <c r="S227" s="187"/>
      <c r="T227" s="187"/>
      <c r="U227" s="187"/>
      <c r="V227" s="187"/>
    </row>
    <row r="228" spans="2:22" s="174" customFormat="1">
      <c r="S228" s="187"/>
      <c r="T228" s="187"/>
      <c r="U228" s="187"/>
      <c r="V228" s="187"/>
    </row>
    <row r="229" spans="2:22" s="174" customFormat="1">
      <c r="S229" s="187"/>
      <c r="T229" s="187"/>
      <c r="U229" s="187"/>
      <c r="V229" s="187"/>
    </row>
    <row r="230" spans="2:22" s="174" customFormat="1">
      <c r="B230" s="185"/>
      <c r="P230" s="186"/>
      <c r="S230" s="187"/>
      <c r="T230" s="187"/>
      <c r="U230" s="187"/>
      <c r="V230" s="187"/>
    </row>
    <row r="231" spans="2:22" s="174" customFormat="1">
      <c r="S231" s="187"/>
      <c r="T231" s="187"/>
      <c r="U231" s="187"/>
      <c r="V231" s="187"/>
    </row>
    <row r="232" spans="2:22" s="174" customFormat="1">
      <c r="S232" s="187"/>
      <c r="T232" s="187"/>
      <c r="U232" s="187"/>
      <c r="V232" s="187"/>
    </row>
    <row r="233" spans="2:22" s="174" customFormat="1">
      <c r="B233" s="185"/>
      <c r="P233" s="186"/>
      <c r="S233" s="187"/>
      <c r="T233" s="187"/>
      <c r="U233" s="187"/>
      <c r="V233" s="187"/>
    </row>
    <row r="234" spans="2:22" s="174" customFormat="1">
      <c r="S234" s="187"/>
      <c r="T234" s="187"/>
      <c r="U234" s="187"/>
      <c r="V234" s="187"/>
    </row>
    <row r="235" spans="2:22" s="174" customFormat="1">
      <c r="S235" s="187"/>
      <c r="T235" s="187"/>
      <c r="U235" s="187"/>
      <c r="V235" s="187"/>
    </row>
    <row r="236" spans="2:22" s="174" customFormat="1">
      <c r="B236" s="185"/>
      <c r="P236" s="186"/>
      <c r="S236" s="187"/>
      <c r="T236" s="187"/>
      <c r="U236" s="187"/>
      <c r="V236" s="187"/>
    </row>
    <row r="237" spans="2:22" s="174" customFormat="1">
      <c r="S237" s="187"/>
      <c r="T237" s="187"/>
      <c r="U237" s="187"/>
      <c r="V237" s="187"/>
    </row>
    <row r="238" spans="2:22" s="174" customFormat="1">
      <c r="S238" s="187"/>
      <c r="T238" s="187"/>
      <c r="U238" s="187"/>
      <c r="V238" s="187"/>
    </row>
    <row r="239" spans="2:22" s="174" customFormat="1">
      <c r="B239" s="185"/>
      <c r="P239" s="186"/>
      <c r="S239" s="187"/>
      <c r="T239" s="187"/>
      <c r="U239" s="187"/>
      <c r="V239" s="187"/>
    </row>
    <row r="240" spans="2:22" s="174" customFormat="1">
      <c r="S240" s="187"/>
      <c r="T240" s="187"/>
      <c r="U240" s="187"/>
      <c r="V240" s="187"/>
    </row>
    <row r="241" spans="2:22" s="174" customFormat="1">
      <c r="S241" s="187"/>
      <c r="T241" s="187"/>
      <c r="U241" s="187"/>
      <c r="V241" s="187"/>
    </row>
    <row r="242" spans="2:22" s="174" customFormat="1">
      <c r="B242" s="185"/>
      <c r="P242" s="186"/>
      <c r="S242" s="187"/>
      <c r="T242" s="187"/>
      <c r="U242" s="187"/>
      <c r="V242" s="187"/>
    </row>
    <row r="243" spans="2:22" s="174" customFormat="1">
      <c r="S243" s="187"/>
      <c r="T243" s="187"/>
      <c r="U243" s="187"/>
      <c r="V243" s="187"/>
    </row>
    <row r="244" spans="2:22" s="174" customFormat="1">
      <c r="S244" s="187"/>
      <c r="T244" s="187"/>
      <c r="U244" s="187"/>
      <c r="V244" s="187"/>
    </row>
    <row r="245" spans="2:22" s="174" customFormat="1">
      <c r="B245" s="185"/>
      <c r="P245" s="186"/>
      <c r="S245" s="187"/>
      <c r="T245" s="187"/>
      <c r="U245" s="187"/>
      <c r="V245" s="187"/>
    </row>
    <row r="246" spans="2:22" s="174" customFormat="1">
      <c r="S246" s="187"/>
      <c r="T246" s="187"/>
      <c r="U246" s="187"/>
      <c r="V246" s="187"/>
    </row>
    <row r="247" spans="2:22" s="174" customFormat="1">
      <c r="S247" s="187"/>
      <c r="T247" s="187"/>
      <c r="U247" s="187"/>
      <c r="V247" s="187"/>
    </row>
    <row r="248" spans="2:22" s="174" customFormat="1">
      <c r="B248" s="185"/>
      <c r="P248" s="186"/>
      <c r="S248" s="187"/>
      <c r="T248" s="187"/>
      <c r="U248" s="187"/>
      <c r="V248" s="187"/>
    </row>
    <row r="249" spans="2:22" s="174" customFormat="1">
      <c r="S249" s="187"/>
      <c r="T249" s="187"/>
      <c r="U249" s="187"/>
      <c r="V249" s="187"/>
    </row>
    <row r="250" spans="2:22" s="174" customFormat="1">
      <c r="S250" s="187"/>
      <c r="T250" s="187"/>
      <c r="U250" s="187"/>
      <c r="V250" s="187"/>
    </row>
    <row r="251" spans="2:22" s="174" customFormat="1">
      <c r="B251" s="185"/>
      <c r="P251" s="186"/>
      <c r="S251" s="187"/>
      <c r="T251" s="187"/>
      <c r="U251" s="187"/>
      <c r="V251" s="187"/>
    </row>
    <row r="252" spans="2:22" s="174" customFormat="1">
      <c r="S252" s="187"/>
      <c r="T252" s="187"/>
      <c r="U252" s="187"/>
      <c r="V252" s="187"/>
    </row>
    <row r="253" spans="2:22" s="174" customFormat="1">
      <c r="S253" s="187"/>
      <c r="T253" s="187"/>
      <c r="U253" s="187"/>
      <c r="V253" s="187"/>
    </row>
    <row r="254" spans="2:22" s="174" customFormat="1">
      <c r="B254" s="185"/>
      <c r="P254" s="186"/>
      <c r="S254" s="187"/>
      <c r="T254" s="187"/>
      <c r="U254" s="187"/>
      <c r="V254" s="187"/>
    </row>
    <row r="255" spans="2:22" s="174" customFormat="1">
      <c r="S255" s="187"/>
      <c r="T255" s="187"/>
      <c r="U255" s="187"/>
      <c r="V255" s="187"/>
    </row>
    <row r="256" spans="2:22" s="174" customFormat="1">
      <c r="S256" s="187"/>
      <c r="T256" s="187"/>
      <c r="U256" s="187"/>
      <c r="V256" s="187"/>
    </row>
    <row r="257" spans="2:22" s="174" customFormat="1">
      <c r="B257" s="185"/>
      <c r="P257" s="186"/>
      <c r="S257" s="187"/>
      <c r="T257" s="187"/>
      <c r="U257" s="187"/>
      <c r="V257" s="187"/>
    </row>
    <row r="258" spans="2:22" s="174" customFormat="1">
      <c r="S258" s="187"/>
      <c r="T258" s="187"/>
      <c r="U258" s="187"/>
      <c r="V258" s="187"/>
    </row>
    <row r="259" spans="2:22" s="174" customFormat="1">
      <c r="S259" s="187"/>
      <c r="T259" s="187"/>
      <c r="U259" s="187"/>
      <c r="V259" s="187"/>
    </row>
    <row r="260" spans="2:22" s="174" customFormat="1">
      <c r="B260" s="185"/>
      <c r="P260" s="186"/>
      <c r="S260" s="187"/>
      <c r="T260" s="187"/>
      <c r="U260" s="187"/>
      <c r="V260" s="187"/>
    </row>
    <row r="261" spans="2:22" s="174" customFormat="1">
      <c r="S261" s="187"/>
      <c r="T261" s="187"/>
      <c r="U261" s="187"/>
      <c r="V261" s="187"/>
    </row>
    <row r="262" spans="2:22" s="174" customFormat="1">
      <c r="S262" s="187"/>
      <c r="T262" s="187"/>
      <c r="U262" s="187"/>
      <c r="V262" s="187"/>
    </row>
    <row r="263" spans="2:22" s="174" customFormat="1">
      <c r="B263" s="185"/>
      <c r="P263" s="186"/>
      <c r="S263" s="187"/>
      <c r="T263" s="187"/>
      <c r="U263" s="187"/>
      <c r="V263" s="187"/>
    </row>
    <row r="264" spans="2:22" s="174" customFormat="1">
      <c r="S264" s="187"/>
      <c r="T264" s="187"/>
      <c r="U264" s="187"/>
      <c r="V264" s="187"/>
    </row>
    <row r="265" spans="2:22" s="174" customFormat="1">
      <c r="S265" s="187"/>
      <c r="T265" s="187"/>
      <c r="U265" s="187"/>
      <c r="V265" s="187"/>
    </row>
    <row r="266" spans="2:22" s="174" customFormat="1">
      <c r="B266" s="185"/>
      <c r="P266" s="186"/>
      <c r="S266" s="187"/>
      <c r="T266" s="187"/>
      <c r="U266" s="187"/>
      <c r="V266" s="187"/>
    </row>
    <row r="267" spans="2:22" s="174" customFormat="1">
      <c r="S267" s="187"/>
      <c r="T267" s="187"/>
      <c r="U267" s="187"/>
      <c r="V267" s="187"/>
    </row>
    <row r="268" spans="2:22" s="174" customFormat="1">
      <c r="S268" s="187"/>
      <c r="T268" s="187"/>
      <c r="U268" s="187"/>
      <c r="V268" s="187"/>
    </row>
    <row r="269" spans="2:22" s="174" customFormat="1">
      <c r="B269" s="185"/>
      <c r="P269" s="186"/>
      <c r="S269" s="187"/>
      <c r="T269" s="187"/>
      <c r="U269" s="187"/>
      <c r="V269" s="187"/>
    </row>
    <row r="270" spans="2:22" s="174" customFormat="1">
      <c r="S270" s="187"/>
      <c r="T270" s="187"/>
      <c r="U270" s="187"/>
      <c r="V270" s="187"/>
    </row>
    <row r="271" spans="2:22" s="174" customFormat="1">
      <c r="S271" s="187"/>
      <c r="T271" s="187"/>
      <c r="U271" s="187"/>
      <c r="V271" s="187"/>
    </row>
    <row r="272" spans="2:22" s="174" customFormat="1">
      <c r="B272" s="185"/>
      <c r="P272" s="186"/>
      <c r="S272" s="187"/>
      <c r="T272" s="187"/>
      <c r="U272" s="187"/>
      <c r="V272" s="187"/>
    </row>
    <row r="273" spans="2:22" s="174" customFormat="1">
      <c r="S273" s="187"/>
      <c r="T273" s="187"/>
      <c r="U273" s="187"/>
      <c r="V273" s="187"/>
    </row>
    <row r="274" spans="2:22" s="174" customFormat="1">
      <c r="S274" s="187"/>
      <c r="T274" s="187"/>
      <c r="U274" s="187"/>
      <c r="V274" s="187"/>
    </row>
    <row r="275" spans="2:22" s="174" customFormat="1">
      <c r="B275" s="185"/>
      <c r="P275" s="186"/>
      <c r="S275" s="187"/>
      <c r="T275" s="187"/>
      <c r="U275" s="187"/>
      <c r="V275" s="187"/>
    </row>
    <row r="276" spans="2:22" s="174" customFormat="1">
      <c r="S276" s="187"/>
      <c r="T276" s="187"/>
      <c r="U276" s="187"/>
      <c r="V276" s="187"/>
    </row>
    <row r="277" spans="2:22" s="174" customFormat="1">
      <c r="S277" s="187"/>
      <c r="T277" s="187"/>
      <c r="U277" s="187"/>
      <c r="V277" s="187"/>
    </row>
    <row r="278" spans="2:22" s="174" customFormat="1">
      <c r="B278" s="185"/>
      <c r="P278" s="186"/>
      <c r="S278" s="188"/>
      <c r="T278" s="187"/>
      <c r="U278" s="187"/>
      <c r="V278" s="187"/>
    </row>
    <row r="279" spans="2:22" s="174" customFormat="1">
      <c r="S279" s="187"/>
      <c r="T279" s="187"/>
      <c r="U279" s="187"/>
      <c r="V279" s="187"/>
    </row>
    <row r="280" spans="2:22" s="174" customFormat="1">
      <c r="S280" s="187"/>
      <c r="T280" s="187"/>
      <c r="U280" s="187"/>
      <c r="V280" s="187"/>
    </row>
    <row r="281" spans="2:22" s="174" customFormat="1">
      <c r="B281" s="185"/>
      <c r="P281" s="186"/>
      <c r="S281" s="187"/>
      <c r="T281" s="187"/>
      <c r="U281" s="187"/>
      <c r="V281" s="187"/>
    </row>
    <row r="282" spans="2:22" s="174" customFormat="1">
      <c r="S282" s="187"/>
      <c r="T282" s="187"/>
      <c r="U282" s="187"/>
      <c r="V282" s="187"/>
    </row>
    <row r="283" spans="2:22" s="174" customFormat="1">
      <c r="S283" s="187"/>
      <c r="T283" s="187"/>
      <c r="U283" s="187"/>
      <c r="V283" s="187"/>
    </row>
    <row r="284" spans="2:22" s="174" customFormat="1">
      <c r="B284" s="185"/>
      <c r="P284" s="186"/>
      <c r="S284" s="187"/>
      <c r="T284" s="187"/>
      <c r="U284" s="187"/>
      <c r="V284" s="187"/>
    </row>
    <row r="285" spans="2:22" s="174" customFormat="1">
      <c r="S285" s="187"/>
      <c r="T285" s="187"/>
      <c r="U285" s="187"/>
      <c r="V285" s="187"/>
    </row>
    <row r="286" spans="2:22" s="174" customFormat="1">
      <c r="S286" s="187"/>
      <c r="T286" s="187"/>
      <c r="U286" s="187"/>
      <c r="V286" s="187"/>
    </row>
    <row r="287" spans="2:22" s="174" customFormat="1">
      <c r="B287" s="185"/>
      <c r="P287" s="186"/>
      <c r="S287" s="187"/>
      <c r="T287" s="187"/>
      <c r="U287" s="187"/>
      <c r="V287" s="187"/>
    </row>
    <row r="288" spans="2:22" s="174" customFormat="1">
      <c r="S288" s="187"/>
      <c r="T288" s="187"/>
      <c r="U288" s="187"/>
      <c r="V288" s="187"/>
    </row>
    <row r="289" spans="2:22" s="174" customFormat="1">
      <c r="S289" s="187"/>
      <c r="T289" s="187"/>
      <c r="U289" s="187"/>
      <c r="V289" s="187"/>
    </row>
    <row r="290" spans="2:22" s="174" customFormat="1">
      <c r="B290" s="185"/>
      <c r="P290" s="186"/>
      <c r="S290" s="187"/>
      <c r="T290" s="187"/>
      <c r="U290" s="187"/>
      <c r="V290" s="187"/>
    </row>
    <row r="291" spans="2:22" s="174" customFormat="1">
      <c r="S291" s="187"/>
      <c r="T291" s="187"/>
      <c r="U291" s="187"/>
      <c r="V291" s="187"/>
    </row>
    <row r="292" spans="2:22" s="174" customFormat="1">
      <c r="S292" s="187"/>
      <c r="T292" s="187"/>
      <c r="U292" s="187"/>
      <c r="V292" s="187"/>
    </row>
    <row r="293" spans="2:22" s="174" customFormat="1">
      <c r="B293" s="185"/>
      <c r="P293" s="186"/>
      <c r="S293" s="187"/>
      <c r="T293" s="187"/>
      <c r="U293" s="187"/>
      <c r="V293" s="187"/>
    </row>
    <row r="294" spans="2:22" s="174" customFormat="1">
      <c r="S294" s="187"/>
      <c r="T294" s="187"/>
      <c r="U294" s="187"/>
      <c r="V294" s="187"/>
    </row>
    <row r="295" spans="2:22" s="174" customFormat="1">
      <c r="S295" s="187"/>
      <c r="T295" s="187"/>
      <c r="U295" s="187"/>
      <c r="V295" s="187"/>
    </row>
    <row r="296" spans="2:22" s="174" customFormat="1">
      <c r="B296" s="185"/>
      <c r="P296" s="186"/>
      <c r="S296" s="188"/>
      <c r="T296" s="187"/>
      <c r="U296" s="187"/>
      <c r="V296" s="187"/>
    </row>
    <row r="297" spans="2:22" s="174" customFormat="1">
      <c r="S297" s="187"/>
      <c r="T297" s="187"/>
      <c r="U297" s="187"/>
      <c r="V297" s="187"/>
    </row>
    <row r="298" spans="2:22" s="174" customFormat="1">
      <c r="S298" s="187"/>
      <c r="T298" s="187"/>
      <c r="U298" s="187"/>
      <c r="V298" s="187"/>
    </row>
    <row r="299" spans="2:22" s="174" customFormat="1">
      <c r="B299" s="185"/>
      <c r="P299" s="186"/>
      <c r="S299" s="187"/>
      <c r="T299" s="187"/>
      <c r="U299" s="187"/>
      <c r="V299" s="187"/>
    </row>
    <row r="300" spans="2:22" s="174" customFormat="1">
      <c r="S300" s="187"/>
      <c r="T300" s="187"/>
      <c r="U300" s="187"/>
      <c r="V300" s="187"/>
    </row>
    <row r="301" spans="2:22" s="174" customFormat="1">
      <c r="S301" s="187"/>
      <c r="T301" s="187"/>
      <c r="U301" s="187"/>
      <c r="V301" s="187"/>
    </row>
    <row r="302" spans="2:22" s="174" customFormat="1">
      <c r="B302" s="185"/>
      <c r="P302" s="186"/>
      <c r="S302" s="187"/>
      <c r="T302" s="187"/>
      <c r="U302" s="187"/>
      <c r="V302" s="187"/>
    </row>
    <row r="303" spans="2:22" s="174" customFormat="1">
      <c r="S303" s="187"/>
      <c r="T303" s="187"/>
      <c r="U303" s="187"/>
      <c r="V303" s="187"/>
    </row>
    <row r="304" spans="2:22" s="174" customFormat="1">
      <c r="S304" s="187"/>
      <c r="T304" s="187"/>
      <c r="U304" s="187"/>
      <c r="V304" s="187"/>
    </row>
    <row r="305" spans="2:22" s="174" customFormat="1">
      <c r="B305" s="185"/>
      <c r="P305" s="186"/>
      <c r="S305" s="187"/>
      <c r="T305" s="187"/>
      <c r="U305" s="187"/>
      <c r="V305" s="187"/>
    </row>
    <row r="306" spans="2:22" s="174" customFormat="1">
      <c r="S306" s="187"/>
      <c r="T306" s="187"/>
      <c r="U306" s="187"/>
      <c r="V306" s="187"/>
    </row>
    <row r="307" spans="2:22" s="174" customFormat="1">
      <c r="S307" s="187"/>
      <c r="T307" s="187"/>
      <c r="U307" s="187"/>
      <c r="V307" s="187"/>
    </row>
    <row r="308" spans="2:22" s="174" customFormat="1">
      <c r="B308" s="185"/>
      <c r="P308" s="186"/>
      <c r="S308" s="187"/>
      <c r="T308" s="187"/>
      <c r="U308" s="187"/>
      <c r="V308" s="187"/>
    </row>
    <row r="309" spans="2:22" s="174" customFormat="1">
      <c r="S309" s="187"/>
      <c r="T309" s="187"/>
      <c r="U309" s="187"/>
      <c r="V309" s="187"/>
    </row>
    <row r="310" spans="2:22" s="174" customFormat="1">
      <c r="S310" s="187"/>
      <c r="T310" s="187"/>
      <c r="U310" s="187"/>
      <c r="V310" s="187"/>
    </row>
    <row r="311" spans="2:22" s="174" customFormat="1">
      <c r="B311" s="185"/>
      <c r="P311" s="186"/>
      <c r="S311" s="187"/>
      <c r="T311" s="187"/>
      <c r="U311" s="187"/>
      <c r="V311" s="187"/>
    </row>
    <row r="312" spans="2:22" s="174" customFormat="1">
      <c r="S312" s="187"/>
      <c r="T312" s="187"/>
      <c r="U312" s="187"/>
      <c r="V312" s="187"/>
    </row>
    <row r="313" spans="2:22" s="174" customFormat="1">
      <c r="S313" s="187"/>
      <c r="T313" s="187"/>
      <c r="U313" s="187"/>
      <c r="V313" s="187"/>
    </row>
    <row r="314" spans="2:22" s="174" customFormat="1">
      <c r="B314" s="185"/>
      <c r="P314" s="186"/>
      <c r="S314" s="187"/>
      <c r="T314" s="187"/>
      <c r="U314" s="187"/>
      <c r="V314" s="187"/>
    </row>
    <row r="315" spans="2:22" s="174" customFormat="1">
      <c r="S315" s="187"/>
      <c r="T315" s="187"/>
      <c r="U315" s="187"/>
      <c r="V315" s="187"/>
    </row>
    <row r="316" spans="2:22" s="174" customFormat="1">
      <c r="S316" s="187"/>
      <c r="T316" s="187"/>
      <c r="U316" s="187"/>
      <c r="V316" s="187"/>
    </row>
    <row r="317" spans="2:22" s="174" customFormat="1">
      <c r="B317" s="185"/>
      <c r="P317" s="186"/>
      <c r="S317" s="187"/>
      <c r="T317" s="187"/>
      <c r="U317" s="187"/>
      <c r="V317" s="187"/>
    </row>
    <row r="318" spans="2:22" s="174" customFormat="1">
      <c r="S318" s="187"/>
      <c r="T318" s="187"/>
      <c r="U318" s="187"/>
      <c r="V318" s="187"/>
    </row>
    <row r="319" spans="2:22" s="174" customFormat="1">
      <c r="S319" s="187"/>
      <c r="T319" s="187"/>
      <c r="U319" s="187"/>
      <c r="V319" s="187"/>
    </row>
    <row r="320" spans="2:22" s="174" customFormat="1">
      <c r="B320" s="185"/>
      <c r="P320" s="186"/>
      <c r="S320" s="187"/>
      <c r="T320" s="187"/>
      <c r="U320" s="187"/>
      <c r="V320" s="187"/>
    </row>
    <row r="321" spans="2:22" s="174" customFormat="1">
      <c r="S321" s="187"/>
      <c r="T321" s="187"/>
      <c r="U321" s="187"/>
      <c r="V321" s="187"/>
    </row>
    <row r="322" spans="2:22" s="174" customFormat="1">
      <c r="S322" s="187"/>
      <c r="T322" s="187"/>
      <c r="U322" s="187"/>
      <c r="V322" s="187"/>
    </row>
    <row r="323" spans="2:22" s="174" customFormat="1">
      <c r="B323" s="185"/>
      <c r="P323" s="186"/>
      <c r="S323" s="187"/>
      <c r="T323" s="187"/>
      <c r="U323" s="187"/>
      <c r="V323" s="187"/>
    </row>
    <row r="324" spans="2:22" s="174" customFormat="1">
      <c r="S324" s="187"/>
      <c r="T324" s="187"/>
      <c r="U324" s="187"/>
      <c r="V324" s="187"/>
    </row>
    <row r="325" spans="2:22" s="174" customFormat="1">
      <c r="S325" s="187"/>
      <c r="T325" s="187"/>
      <c r="U325" s="187"/>
      <c r="V325" s="187"/>
    </row>
    <row r="326" spans="2:22" s="174" customFormat="1">
      <c r="B326" s="185"/>
      <c r="P326" s="186"/>
      <c r="S326" s="187"/>
      <c r="T326" s="187"/>
      <c r="U326" s="187"/>
      <c r="V326" s="187"/>
    </row>
    <row r="327" spans="2:22" s="174" customFormat="1">
      <c r="S327" s="187"/>
      <c r="T327" s="187"/>
      <c r="U327" s="187"/>
      <c r="V327" s="187"/>
    </row>
    <row r="328" spans="2:22" s="174" customFormat="1">
      <c r="S328" s="187"/>
      <c r="T328" s="187"/>
      <c r="U328" s="187"/>
      <c r="V328" s="187"/>
    </row>
    <row r="329" spans="2:22" s="174" customFormat="1">
      <c r="B329" s="185"/>
      <c r="P329" s="186"/>
      <c r="S329" s="187"/>
      <c r="T329" s="187"/>
      <c r="U329" s="187"/>
      <c r="V329" s="187"/>
    </row>
    <row r="330" spans="2:22" s="174" customFormat="1">
      <c r="S330" s="187"/>
      <c r="T330" s="187"/>
      <c r="U330" s="187"/>
      <c r="V330" s="187"/>
    </row>
    <row r="331" spans="2:22" s="174" customFormat="1">
      <c r="S331" s="187"/>
      <c r="T331" s="187"/>
      <c r="U331" s="187"/>
      <c r="V331" s="187"/>
    </row>
    <row r="332" spans="2:22" s="174" customFormat="1">
      <c r="B332" s="185"/>
      <c r="P332" s="186"/>
      <c r="S332" s="187"/>
      <c r="T332" s="187"/>
      <c r="U332" s="187"/>
      <c r="V332" s="187"/>
    </row>
    <row r="333" spans="2:22" s="174" customFormat="1">
      <c r="S333" s="187"/>
      <c r="T333" s="187"/>
      <c r="U333" s="187"/>
      <c r="V333" s="187"/>
    </row>
    <row r="334" spans="2:22" s="174" customFormat="1">
      <c r="S334" s="187"/>
      <c r="T334" s="187"/>
      <c r="U334" s="187"/>
      <c r="V334" s="187"/>
    </row>
    <row r="335" spans="2:22" s="174" customFormat="1">
      <c r="B335" s="185"/>
      <c r="P335" s="186"/>
      <c r="S335" s="187"/>
      <c r="T335" s="187"/>
      <c r="U335" s="187"/>
      <c r="V335" s="187"/>
    </row>
    <row r="336" spans="2:22" s="174" customFormat="1">
      <c r="S336" s="187"/>
      <c r="T336" s="187"/>
      <c r="U336" s="187"/>
      <c r="V336" s="187"/>
    </row>
    <row r="337" spans="2:22" s="174" customFormat="1">
      <c r="S337" s="187"/>
      <c r="T337" s="187"/>
      <c r="U337" s="187"/>
      <c r="V337" s="187"/>
    </row>
    <row r="338" spans="2:22" s="174" customFormat="1">
      <c r="B338" s="185"/>
      <c r="P338" s="186"/>
      <c r="S338" s="187"/>
      <c r="T338" s="187"/>
      <c r="U338" s="187"/>
      <c r="V338" s="187"/>
    </row>
    <row r="339" spans="2:22" s="174" customFormat="1">
      <c r="S339" s="187"/>
      <c r="T339" s="187"/>
      <c r="U339" s="187"/>
      <c r="V339" s="187"/>
    </row>
    <row r="340" spans="2:22" s="174" customFormat="1">
      <c r="S340" s="187"/>
      <c r="T340" s="187"/>
      <c r="U340" s="187"/>
      <c r="V340" s="187"/>
    </row>
    <row r="341" spans="2:22" s="174" customFormat="1">
      <c r="B341" s="185"/>
      <c r="P341" s="186"/>
      <c r="S341" s="187"/>
      <c r="T341" s="187"/>
      <c r="U341" s="187"/>
      <c r="V341" s="187"/>
    </row>
    <row r="342" spans="2:22" s="174" customFormat="1">
      <c r="S342" s="187"/>
      <c r="T342" s="187"/>
      <c r="U342" s="187"/>
      <c r="V342" s="187"/>
    </row>
    <row r="343" spans="2:22" s="174" customFormat="1">
      <c r="S343" s="187"/>
      <c r="T343" s="187"/>
      <c r="U343" s="187"/>
      <c r="V343" s="187"/>
    </row>
    <row r="344" spans="2:22" s="174" customFormat="1">
      <c r="B344" s="185"/>
      <c r="P344" s="186"/>
      <c r="S344" s="187"/>
      <c r="T344" s="187"/>
      <c r="U344" s="187"/>
      <c r="V344" s="187"/>
    </row>
    <row r="345" spans="2:22" s="174" customFormat="1">
      <c r="S345" s="187"/>
      <c r="T345" s="187"/>
      <c r="U345" s="187"/>
      <c r="V345" s="187"/>
    </row>
    <row r="346" spans="2:22" s="174" customFormat="1">
      <c r="S346" s="187"/>
      <c r="T346" s="187"/>
      <c r="U346" s="187"/>
      <c r="V346" s="187"/>
    </row>
    <row r="347" spans="2:22" s="174" customFormat="1">
      <c r="B347" s="185"/>
      <c r="P347" s="186"/>
      <c r="S347" s="187"/>
      <c r="T347" s="187"/>
      <c r="U347" s="187"/>
      <c r="V347" s="187"/>
    </row>
    <row r="348" spans="2:22" s="174" customFormat="1">
      <c r="S348" s="187"/>
      <c r="T348" s="187"/>
      <c r="U348" s="187"/>
      <c r="V348" s="187"/>
    </row>
    <row r="349" spans="2:22" s="174" customFormat="1">
      <c r="S349" s="187"/>
      <c r="T349" s="187"/>
      <c r="U349" s="187"/>
      <c r="V349" s="187"/>
    </row>
    <row r="350" spans="2:22" s="174" customFormat="1">
      <c r="B350" s="185"/>
      <c r="P350" s="186"/>
      <c r="S350" s="187"/>
      <c r="T350" s="187"/>
      <c r="U350" s="187"/>
      <c r="V350" s="187"/>
    </row>
    <row r="351" spans="2:22" s="174" customFormat="1">
      <c r="S351" s="187"/>
      <c r="T351" s="187"/>
      <c r="U351" s="187"/>
      <c r="V351" s="187"/>
    </row>
    <row r="352" spans="2:22" s="174" customFormat="1">
      <c r="S352" s="187"/>
      <c r="T352" s="187"/>
      <c r="U352" s="187"/>
      <c r="V352" s="187"/>
    </row>
    <row r="353" spans="2:22" s="174" customFormat="1">
      <c r="B353" s="185"/>
      <c r="P353" s="186"/>
      <c r="S353" s="187"/>
      <c r="T353" s="187"/>
      <c r="U353" s="187"/>
      <c r="V353" s="187"/>
    </row>
    <row r="354" spans="2:22" s="174" customFormat="1">
      <c r="S354" s="187"/>
      <c r="T354" s="187"/>
      <c r="U354" s="187"/>
      <c r="V354" s="187"/>
    </row>
    <row r="355" spans="2:22" s="174" customFormat="1">
      <c r="S355" s="187"/>
      <c r="T355" s="187"/>
      <c r="U355" s="187"/>
      <c r="V355" s="187"/>
    </row>
    <row r="356" spans="2:22" s="174" customFormat="1">
      <c r="B356" s="185"/>
      <c r="P356" s="186"/>
      <c r="S356" s="187"/>
      <c r="T356" s="187"/>
      <c r="U356" s="187"/>
      <c r="V356" s="187"/>
    </row>
    <row r="357" spans="2:22" s="174" customFormat="1">
      <c r="S357" s="187"/>
      <c r="T357" s="187"/>
      <c r="U357" s="187"/>
      <c r="V357" s="187"/>
    </row>
    <row r="358" spans="2:22" s="174" customFormat="1">
      <c r="S358" s="187"/>
      <c r="T358" s="187"/>
      <c r="U358" s="187"/>
      <c r="V358" s="187"/>
    </row>
    <row r="359" spans="2:22" s="174" customFormat="1">
      <c r="B359" s="185"/>
      <c r="P359" s="186"/>
      <c r="S359" s="187"/>
      <c r="T359" s="187"/>
      <c r="U359" s="187"/>
      <c r="V359" s="187"/>
    </row>
    <row r="360" spans="2:22" s="174" customFormat="1">
      <c r="S360" s="187"/>
      <c r="T360" s="187"/>
      <c r="U360" s="187"/>
      <c r="V360" s="187"/>
    </row>
    <row r="361" spans="2:22" s="174" customFormat="1">
      <c r="S361" s="187"/>
      <c r="T361" s="187"/>
      <c r="U361" s="187"/>
      <c r="V361" s="187"/>
    </row>
    <row r="362" spans="2:22" s="174" customFormat="1">
      <c r="B362" s="185"/>
      <c r="P362" s="186"/>
      <c r="S362" s="187"/>
      <c r="T362" s="187"/>
      <c r="U362" s="187"/>
      <c r="V362" s="187"/>
    </row>
    <row r="363" spans="2:22" s="174" customFormat="1">
      <c r="S363" s="187"/>
      <c r="T363" s="187"/>
      <c r="U363" s="187"/>
      <c r="V363" s="187"/>
    </row>
    <row r="364" spans="2:22" s="174" customFormat="1">
      <c r="S364" s="187"/>
      <c r="T364" s="187"/>
      <c r="U364" s="187"/>
      <c r="V364" s="187"/>
    </row>
    <row r="365" spans="2:22" s="174" customFormat="1">
      <c r="B365" s="185"/>
      <c r="P365" s="186"/>
      <c r="S365" s="187"/>
      <c r="T365" s="187"/>
      <c r="U365" s="187"/>
      <c r="V365" s="187"/>
    </row>
    <row r="366" spans="2:22" s="174" customFormat="1">
      <c r="S366" s="187"/>
      <c r="T366" s="187"/>
      <c r="U366" s="187"/>
      <c r="V366" s="187"/>
    </row>
    <row r="367" spans="2:22" s="174" customFormat="1">
      <c r="S367" s="187"/>
      <c r="T367" s="187"/>
      <c r="U367" s="187"/>
      <c r="V367" s="187"/>
    </row>
    <row r="368" spans="2:22" s="174" customFormat="1">
      <c r="B368" s="185"/>
      <c r="P368" s="186"/>
      <c r="S368" s="187"/>
      <c r="T368" s="187"/>
      <c r="U368" s="187"/>
      <c r="V368" s="187"/>
    </row>
    <row r="369" spans="2:22" s="174" customFormat="1">
      <c r="S369" s="187"/>
      <c r="T369" s="187"/>
      <c r="U369" s="187"/>
      <c r="V369" s="187"/>
    </row>
    <row r="370" spans="2:22" s="174" customFormat="1">
      <c r="S370" s="187"/>
      <c r="T370" s="187"/>
      <c r="U370" s="187"/>
      <c r="V370" s="187"/>
    </row>
    <row r="371" spans="2:22" s="174" customFormat="1">
      <c r="B371" s="185"/>
      <c r="P371" s="186"/>
      <c r="S371" s="187"/>
      <c r="T371" s="187"/>
      <c r="U371" s="187"/>
      <c r="V371" s="187"/>
    </row>
    <row r="372" spans="2:22" s="174" customFormat="1">
      <c r="S372" s="187"/>
      <c r="T372" s="187"/>
      <c r="U372" s="187"/>
      <c r="V372" s="187"/>
    </row>
    <row r="373" spans="2:22" s="174" customFormat="1">
      <c r="S373" s="187"/>
      <c r="T373" s="187"/>
      <c r="U373" s="187"/>
      <c r="V373" s="187"/>
    </row>
    <row r="374" spans="2:22" s="174" customFormat="1">
      <c r="B374" s="185"/>
      <c r="P374" s="186"/>
      <c r="S374" s="187"/>
      <c r="T374" s="187"/>
      <c r="U374" s="187"/>
      <c r="V374" s="187"/>
    </row>
    <row r="375" spans="2:22" s="174" customFormat="1">
      <c r="S375" s="187"/>
      <c r="T375" s="187"/>
      <c r="U375" s="187"/>
      <c r="V375" s="187"/>
    </row>
    <row r="376" spans="2:22" s="174" customFormat="1">
      <c r="S376" s="187"/>
      <c r="T376" s="187"/>
      <c r="U376" s="187"/>
      <c r="V376" s="187"/>
    </row>
    <row r="377" spans="2:22" s="174" customFormat="1">
      <c r="B377" s="185"/>
      <c r="P377" s="186"/>
      <c r="S377" s="187"/>
      <c r="T377" s="187"/>
      <c r="U377" s="187"/>
      <c r="V377" s="187"/>
    </row>
    <row r="378" spans="2:22" s="174" customFormat="1">
      <c r="S378" s="187"/>
      <c r="T378" s="187"/>
      <c r="U378" s="187"/>
      <c r="V378" s="187"/>
    </row>
    <row r="379" spans="2:22" s="174" customFormat="1">
      <c r="S379" s="187"/>
      <c r="T379" s="187"/>
      <c r="U379" s="187"/>
      <c r="V379" s="187"/>
    </row>
    <row r="380" spans="2:22" s="174" customFormat="1">
      <c r="B380" s="185"/>
      <c r="P380" s="186"/>
      <c r="S380" s="187"/>
      <c r="T380" s="187"/>
      <c r="U380" s="187"/>
      <c r="V380" s="187"/>
    </row>
    <row r="381" spans="2:22" s="174" customFormat="1">
      <c r="S381" s="187"/>
      <c r="T381" s="187"/>
      <c r="U381" s="187"/>
      <c r="V381" s="187"/>
    </row>
    <row r="382" spans="2:22" s="174" customFormat="1">
      <c r="S382" s="187"/>
      <c r="T382" s="187"/>
      <c r="U382" s="187"/>
      <c r="V382" s="187"/>
    </row>
    <row r="383" spans="2:22" s="174" customFormat="1">
      <c r="B383" s="185"/>
      <c r="P383" s="186"/>
      <c r="S383" s="187"/>
      <c r="T383" s="187"/>
      <c r="U383" s="187"/>
      <c r="V383" s="187"/>
    </row>
    <row r="384" spans="2:22" s="174" customFormat="1">
      <c r="S384" s="187"/>
      <c r="T384" s="187"/>
      <c r="U384" s="187"/>
      <c r="V384" s="187"/>
    </row>
    <row r="385" spans="2:22" s="174" customFormat="1">
      <c r="S385" s="187"/>
      <c r="T385" s="187"/>
      <c r="U385" s="187"/>
      <c r="V385" s="187"/>
    </row>
    <row r="386" spans="2:22" s="174" customFormat="1">
      <c r="B386" s="185"/>
      <c r="P386" s="186"/>
      <c r="S386" s="187"/>
      <c r="T386" s="187"/>
      <c r="U386" s="187"/>
      <c r="V386" s="187"/>
    </row>
    <row r="387" spans="2:22" s="174" customFormat="1">
      <c r="S387" s="187"/>
      <c r="T387" s="187"/>
      <c r="U387" s="187"/>
      <c r="V387" s="187"/>
    </row>
    <row r="388" spans="2:22" s="174" customFormat="1">
      <c r="S388" s="187"/>
      <c r="T388" s="187"/>
      <c r="U388" s="187"/>
      <c r="V388" s="187"/>
    </row>
    <row r="389" spans="2:22" s="174" customFormat="1">
      <c r="B389" s="185"/>
      <c r="P389" s="186"/>
      <c r="S389" s="187"/>
      <c r="T389" s="187"/>
      <c r="U389" s="187"/>
      <c r="V389" s="187"/>
    </row>
    <row r="390" spans="2:22" s="174" customFormat="1">
      <c r="S390" s="187"/>
      <c r="T390" s="187"/>
      <c r="U390" s="187"/>
      <c r="V390" s="187"/>
    </row>
    <row r="391" spans="2:22" s="174" customFormat="1">
      <c r="S391" s="187"/>
      <c r="T391" s="187"/>
      <c r="U391" s="187"/>
      <c r="V391" s="187"/>
    </row>
    <row r="392" spans="2:22" s="174" customFormat="1">
      <c r="B392" s="185"/>
      <c r="P392" s="186"/>
      <c r="S392" s="187"/>
      <c r="T392" s="187"/>
      <c r="U392" s="187"/>
      <c r="V392" s="187"/>
    </row>
    <row r="393" spans="2:22" s="174" customFormat="1">
      <c r="S393" s="187"/>
      <c r="T393" s="187"/>
      <c r="U393" s="187"/>
      <c r="V393" s="187"/>
    </row>
    <row r="394" spans="2:22" s="174" customFormat="1">
      <c r="S394" s="187"/>
      <c r="T394" s="187"/>
      <c r="U394" s="187"/>
      <c r="V394" s="187"/>
    </row>
    <row r="395" spans="2:22" s="174" customFormat="1">
      <c r="B395" s="185"/>
      <c r="P395" s="186"/>
      <c r="S395" s="187"/>
      <c r="T395" s="187"/>
      <c r="U395" s="187"/>
      <c r="V395" s="187"/>
    </row>
    <row r="396" spans="2:22" s="174" customFormat="1">
      <c r="S396" s="187"/>
      <c r="T396" s="187"/>
      <c r="U396" s="187"/>
      <c r="V396" s="187"/>
    </row>
    <row r="397" spans="2:22" s="174" customFormat="1">
      <c r="S397" s="187"/>
      <c r="T397" s="187"/>
      <c r="U397" s="187"/>
      <c r="V397" s="187"/>
    </row>
    <row r="398" spans="2:22" s="174" customFormat="1">
      <c r="B398" s="185"/>
      <c r="P398" s="186"/>
      <c r="S398" s="187"/>
      <c r="T398" s="187"/>
      <c r="U398" s="187"/>
      <c r="V398" s="187"/>
    </row>
    <row r="399" spans="2:22" s="174" customFormat="1">
      <c r="S399" s="187"/>
      <c r="T399" s="187"/>
      <c r="U399" s="187"/>
      <c r="V399" s="187"/>
    </row>
    <row r="400" spans="2:22" s="174" customFormat="1">
      <c r="S400" s="187"/>
      <c r="T400" s="187"/>
      <c r="U400" s="187"/>
      <c r="V400" s="187"/>
    </row>
    <row r="401" spans="2:22" s="174" customFormat="1">
      <c r="B401" s="185"/>
      <c r="P401" s="186"/>
      <c r="S401" s="187"/>
      <c r="T401" s="187"/>
      <c r="U401" s="187"/>
      <c r="V401" s="187"/>
    </row>
    <row r="402" spans="2:22" s="174" customFormat="1">
      <c r="S402" s="187"/>
      <c r="T402" s="187"/>
      <c r="U402" s="187"/>
      <c r="V402" s="187"/>
    </row>
    <row r="403" spans="2:22" s="174" customFormat="1">
      <c r="S403" s="187"/>
      <c r="T403" s="187"/>
      <c r="U403" s="187"/>
      <c r="V403" s="187"/>
    </row>
    <row r="404" spans="2:22" s="174" customFormat="1">
      <c r="B404" s="185"/>
      <c r="P404" s="186"/>
      <c r="S404" s="187"/>
      <c r="T404" s="187"/>
      <c r="U404" s="187"/>
      <c r="V404" s="187"/>
    </row>
    <row r="405" spans="2:22" s="174" customFormat="1">
      <c r="S405" s="187"/>
      <c r="T405" s="187"/>
      <c r="U405" s="187"/>
      <c r="V405" s="187"/>
    </row>
    <row r="406" spans="2:22" s="174" customFormat="1">
      <c r="S406" s="187"/>
      <c r="T406" s="187"/>
      <c r="U406" s="187"/>
      <c r="V406" s="187"/>
    </row>
    <row r="407" spans="2:22" s="174" customFormat="1">
      <c r="B407" s="185"/>
      <c r="P407" s="186"/>
      <c r="S407" s="187"/>
      <c r="T407" s="187"/>
      <c r="U407" s="187"/>
      <c r="V407" s="187"/>
    </row>
    <row r="408" spans="2:22" s="174" customFormat="1">
      <c r="S408" s="187"/>
      <c r="T408" s="187"/>
      <c r="U408" s="187"/>
      <c r="V408" s="187"/>
    </row>
    <row r="409" spans="2:22" s="174" customFormat="1">
      <c r="S409" s="187"/>
      <c r="T409" s="187"/>
      <c r="U409" s="187"/>
      <c r="V409" s="187"/>
    </row>
    <row r="410" spans="2:22" s="174" customFormat="1">
      <c r="B410" s="185"/>
      <c r="P410" s="186"/>
      <c r="S410" s="187"/>
      <c r="T410" s="187"/>
      <c r="U410" s="187"/>
      <c r="V410" s="187"/>
    </row>
    <row r="411" spans="2:22" s="174" customFormat="1">
      <c r="S411" s="187"/>
      <c r="T411" s="187"/>
      <c r="U411" s="187"/>
      <c r="V411" s="187"/>
    </row>
    <row r="412" spans="2:22" s="174" customFormat="1">
      <c r="S412" s="187"/>
      <c r="T412" s="187"/>
      <c r="U412" s="187"/>
      <c r="V412" s="187"/>
    </row>
    <row r="413" spans="2:22" s="174" customFormat="1">
      <c r="B413" s="185"/>
      <c r="P413" s="186"/>
      <c r="S413" s="187"/>
      <c r="T413" s="187"/>
      <c r="U413" s="187"/>
      <c r="V413" s="187"/>
    </row>
    <row r="414" spans="2:22" s="174" customFormat="1">
      <c r="S414" s="187"/>
      <c r="T414" s="187"/>
      <c r="U414" s="187"/>
      <c r="V414" s="187"/>
    </row>
    <row r="415" spans="2:22" s="174" customFormat="1">
      <c r="S415" s="187"/>
      <c r="T415" s="187"/>
      <c r="U415" s="187"/>
      <c r="V415" s="187"/>
    </row>
    <row r="416" spans="2:22" s="174" customFormat="1">
      <c r="B416" s="185"/>
      <c r="P416" s="186"/>
      <c r="S416" s="187"/>
      <c r="T416" s="187"/>
      <c r="U416" s="187"/>
      <c r="V416" s="187"/>
    </row>
    <row r="417" spans="2:22" s="174" customFormat="1">
      <c r="S417" s="187"/>
      <c r="T417" s="187"/>
      <c r="U417" s="187"/>
      <c r="V417" s="187"/>
    </row>
    <row r="418" spans="2:22" s="174" customFormat="1">
      <c r="S418" s="187"/>
      <c r="T418" s="187"/>
      <c r="U418" s="187"/>
      <c r="V418" s="187"/>
    </row>
    <row r="419" spans="2:22" s="174" customFormat="1">
      <c r="B419" s="185"/>
      <c r="P419" s="186"/>
      <c r="S419" s="187"/>
      <c r="T419" s="187"/>
      <c r="U419" s="187"/>
      <c r="V419" s="187"/>
    </row>
    <row r="420" spans="2:22" s="174" customFormat="1">
      <c r="S420" s="187"/>
      <c r="T420" s="187"/>
      <c r="U420" s="187"/>
      <c r="V420" s="187"/>
    </row>
    <row r="421" spans="2:22" s="174" customFormat="1">
      <c r="S421" s="187"/>
      <c r="T421" s="187"/>
      <c r="U421" s="187"/>
      <c r="V421" s="187"/>
    </row>
    <row r="422" spans="2:22" s="174" customFormat="1">
      <c r="B422" s="185"/>
      <c r="P422" s="186"/>
      <c r="S422" s="187"/>
      <c r="T422" s="187"/>
      <c r="U422" s="187"/>
      <c r="V422" s="187"/>
    </row>
    <row r="423" spans="2:22" s="174" customFormat="1">
      <c r="S423" s="187"/>
      <c r="T423" s="187"/>
      <c r="U423" s="187"/>
      <c r="V423" s="187"/>
    </row>
    <row r="424" spans="2:22" s="174" customFormat="1">
      <c r="S424" s="187"/>
      <c r="T424" s="187"/>
      <c r="U424" s="187"/>
      <c r="V424" s="187"/>
    </row>
    <row r="425" spans="2:22" s="174" customFormat="1">
      <c r="B425" s="185"/>
      <c r="P425" s="186"/>
      <c r="S425" s="187"/>
      <c r="T425" s="187"/>
      <c r="U425" s="187"/>
      <c r="V425" s="187"/>
    </row>
    <row r="426" spans="2:22" s="174" customFormat="1">
      <c r="S426" s="187"/>
      <c r="T426" s="187"/>
      <c r="U426" s="187"/>
      <c r="V426" s="187"/>
    </row>
    <row r="427" spans="2:22" s="174" customFormat="1">
      <c r="S427" s="187"/>
      <c r="T427" s="187"/>
      <c r="U427" s="187"/>
      <c r="V427" s="187"/>
    </row>
    <row r="428" spans="2:22" s="174" customFormat="1">
      <c r="B428" s="185"/>
      <c r="P428" s="186"/>
      <c r="S428" s="187"/>
      <c r="T428" s="187"/>
      <c r="U428" s="187"/>
      <c r="V428" s="187"/>
    </row>
    <row r="429" spans="2:22" s="174" customFormat="1">
      <c r="S429" s="187"/>
      <c r="T429" s="187"/>
      <c r="U429" s="187"/>
      <c r="V429" s="187"/>
    </row>
    <row r="430" spans="2:22" s="174" customFormat="1">
      <c r="S430" s="187"/>
      <c r="T430" s="187"/>
      <c r="U430" s="187"/>
      <c r="V430" s="187"/>
    </row>
    <row r="431" spans="2:22" s="174" customFormat="1">
      <c r="B431" s="185"/>
      <c r="P431" s="186"/>
      <c r="S431" s="187"/>
      <c r="T431" s="187"/>
      <c r="U431" s="187"/>
      <c r="V431" s="187"/>
    </row>
    <row r="432" spans="2:22" s="174" customFormat="1">
      <c r="S432" s="187"/>
      <c r="T432" s="187"/>
      <c r="U432" s="187"/>
      <c r="V432" s="187"/>
    </row>
    <row r="433" spans="2:22" s="174" customFormat="1">
      <c r="S433" s="187"/>
      <c r="T433" s="187"/>
      <c r="U433" s="187"/>
      <c r="V433" s="187"/>
    </row>
    <row r="434" spans="2:22" s="174" customFormat="1">
      <c r="B434" s="185"/>
      <c r="P434" s="186"/>
      <c r="S434" s="187"/>
      <c r="T434" s="187"/>
      <c r="U434" s="187"/>
      <c r="V434" s="187"/>
    </row>
    <row r="435" spans="2:22" s="174" customFormat="1">
      <c r="S435" s="187"/>
      <c r="T435" s="187"/>
      <c r="U435" s="187"/>
      <c r="V435" s="187"/>
    </row>
    <row r="436" spans="2:22" s="174" customFormat="1">
      <c r="S436" s="187"/>
      <c r="T436" s="187"/>
      <c r="U436" s="187"/>
      <c r="V436" s="187"/>
    </row>
    <row r="437" spans="2:22" s="174" customFormat="1">
      <c r="B437" s="185"/>
      <c r="P437" s="186"/>
      <c r="S437" s="187"/>
      <c r="T437" s="187"/>
      <c r="U437" s="187"/>
      <c r="V437" s="187"/>
    </row>
    <row r="438" spans="2:22" s="174" customFormat="1">
      <c r="S438" s="187"/>
      <c r="T438" s="187"/>
      <c r="U438" s="187"/>
      <c r="V438" s="187"/>
    </row>
    <row r="439" spans="2:22" s="174" customFormat="1">
      <c r="S439" s="187"/>
      <c r="T439" s="187"/>
      <c r="U439" s="187"/>
      <c r="V439" s="187"/>
    </row>
    <row r="440" spans="2:22" s="174" customFormat="1">
      <c r="B440" s="185"/>
      <c r="P440" s="186"/>
      <c r="S440" s="187"/>
      <c r="T440" s="187"/>
      <c r="U440" s="187"/>
      <c r="V440" s="187"/>
    </row>
    <row r="441" spans="2:22" s="174" customFormat="1">
      <c r="S441" s="187"/>
      <c r="T441" s="187"/>
      <c r="U441" s="187"/>
      <c r="V441" s="187"/>
    </row>
    <row r="442" spans="2:22" s="174" customFormat="1">
      <c r="S442" s="187"/>
      <c r="T442" s="187"/>
      <c r="U442" s="187"/>
      <c r="V442" s="187"/>
    </row>
    <row r="443" spans="2:22" s="174" customFormat="1">
      <c r="B443" s="185"/>
      <c r="P443" s="186"/>
      <c r="S443" s="187"/>
      <c r="T443" s="187"/>
      <c r="U443" s="187"/>
      <c r="V443" s="187"/>
    </row>
    <row r="444" spans="2:22" s="174" customFormat="1">
      <c r="S444" s="187"/>
      <c r="T444" s="187"/>
      <c r="U444" s="187"/>
      <c r="V444" s="187"/>
    </row>
    <row r="445" spans="2:22" s="174" customFormat="1">
      <c r="S445" s="187"/>
      <c r="T445" s="187"/>
      <c r="U445" s="187"/>
      <c r="V445" s="187"/>
    </row>
    <row r="446" spans="2:22" s="174" customFormat="1">
      <c r="B446" s="185"/>
      <c r="P446" s="186"/>
      <c r="S446" s="187"/>
      <c r="T446" s="187"/>
      <c r="U446" s="187"/>
      <c r="V446" s="187"/>
    </row>
    <row r="447" spans="2:22" s="174" customFormat="1">
      <c r="S447" s="187"/>
      <c r="T447" s="187"/>
      <c r="U447" s="187"/>
      <c r="V447" s="187"/>
    </row>
    <row r="448" spans="2:22" s="174" customFormat="1">
      <c r="S448" s="187"/>
      <c r="T448" s="187"/>
      <c r="U448" s="187"/>
      <c r="V448" s="187"/>
    </row>
    <row r="449" spans="2:22" s="174" customFormat="1">
      <c r="B449" s="185"/>
      <c r="P449" s="186"/>
      <c r="S449" s="187"/>
      <c r="T449" s="187"/>
      <c r="U449" s="187"/>
      <c r="V449" s="187"/>
    </row>
    <row r="450" spans="2:22" s="174" customFormat="1">
      <c r="S450" s="187"/>
      <c r="T450" s="187"/>
      <c r="U450" s="187"/>
      <c r="V450" s="187"/>
    </row>
    <row r="451" spans="2:22" s="174" customFormat="1">
      <c r="S451" s="187"/>
      <c r="T451" s="187"/>
      <c r="U451" s="187"/>
      <c r="V451" s="187"/>
    </row>
    <row r="452" spans="2:22" s="174" customFormat="1">
      <c r="B452" s="185"/>
      <c r="P452" s="186"/>
      <c r="S452" s="187"/>
      <c r="T452" s="187"/>
      <c r="U452" s="187"/>
      <c r="V452" s="187"/>
    </row>
    <row r="453" spans="2:22" s="174" customFormat="1">
      <c r="S453" s="187"/>
      <c r="T453" s="187"/>
      <c r="U453" s="187"/>
      <c r="V453" s="187"/>
    </row>
    <row r="454" spans="2:22" s="174" customFormat="1">
      <c r="S454" s="187"/>
      <c r="T454" s="187"/>
      <c r="U454" s="187"/>
      <c r="V454" s="187"/>
    </row>
    <row r="455" spans="2:22" s="174" customFormat="1">
      <c r="B455" s="185"/>
      <c r="P455" s="186"/>
      <c r="S455" s="187"/>
      <c r="T455" s="187"/>
      <c r="U455" s="187"/>
      <c r="V455" s="187"/>
    </row>
    <row r="456" spans="2:22" s="174" customFormat="1">
      <c r="S456" s="187"/>
      <c r="T456" s="187"/>
      <c r="U456" s="187"/>
      <c r="V456" s="187"/>
    </row>
    <row r="457" spans="2:22" s="174" customFormat="1">
      <c r="S457" s="187"/>
      <c r="T457" s="187"/>
      <c r="U457" s="187"/>
      <c r="V457" s="187"/>
    </row>
    <row r="458" spans="2:22" s="174" customFormat="1">
      <c r="B458" s="185"/>
      <c r="P458" s="186"/>
      <c r="S458" s="187"/>
      <c r="T458" s="187"/>
      <c r="U458" s="187"/>
      <c r="V458" s="187"/>
    </row>
    <row r="459" spans="2:22" s="174" customFormat="1">
      <c r="S459" s="187"/>
      <c r="T459" s="187"/>
      <c r="U459" s="187"/>
      <c r="V459" s="187"/>
    </row>
    <row r="460" spans="2:22" s="174" customFormat="1">
      <c r="S460" s="187"/>
      <c r="T460" s="187"/>
      <c r="U460" s="187"/>
      <c r="V460" s="187"/>
    </row>
    <row r="461" spans="2:22" s="174" customFormat="1">
      <c r="B461" s="185"/>
      <c r="P461" s="186"/>
      <c r="S461" s="187"/>
      <c r="T461" s="187"/>
      <c r="U461" s="187"/>
      <c r="V461" s="187"/>
    </row>
    <row r="462" spans="2:22" s="174" customFormat="1">
      <c r="S462" s="187"/>
      <c r="T462" s="187"/>
      <c r="U462" s="187"/>
      <c r="V462" s="187"/>
    </row>
    <row r="463" spans="2:22" s="174" customFormat="1">
      <c r="S463" s="187"/>
      <c r="T463" s="187"/>
      <c r="U463" s="187"/>
      <c r="V463" s="187"/>
    </row>
    <row r="464" spans="2:22" s="174" customFormat="1">
      <c r="B464" s="185"/>
      <c r="P464" s="186"/>
      <c r="S464" s="187"/>
      <c r="T464" s="187"/>
      <c r="U464" s="187"/>
      <c r="V464" s="187"/>
    </row>
    <row r="465" spans="2:22" s="174" customFormat="1">
      <c r="S465" s="187"/>
      <c r="T465" s="187"/>
      <c r="U465" s="187"/>
      <c r="V465" s="187"/>
    </row>
    <row r="466" spans="2:22" s="174" customFormat="1">
      <c r="S466" s="187"/>
      <c r="T466" s="187"/>
      <c r="U466" s="187"/>
      <c r="V466" s="187"/>
    </row>
    <row r="467" spans="2:22" s="174" customFormat="1">
      <c r="B467" s="185"/>
      <c r="P467" s="186"/>
      <c r="S467" s="187"/>
      <c r="T467" s="187"/>
      <c r="U467" s="187"/>
      <c r="V467" s="187"/>
    </row>
    <row r="468" spans="2:22" s="174" customFormat="1">
      <c r="S468" s="187"/>
      <c r="T468" s="187"/>
      <c r="U468" s="187"/>
      <c r="V468" s="187"/>
    </row>
    <row r="469" spans="2:22" s="174" customFormat="1">
      <c r="S469" s="187"/>
      <c r="T469" s="187"/>
      <c r="U469" s="187"/>
      <c r="V469" s="187"/>
    </row>
    <row r="470" spans="2:22" s="174" customFormat="1">
      <c r="B470" s="185"/>
      <c r="P470" s="186"/>
      <c r="S470" s="187"/>
      <c r="T470" s="187"/>
      <c r="U470" s="187"/>
      <c r="V470" s="187"/>
    </row>
    <row r="471" spans="2:22" s="174" customFormat="1">
      <c r="S471" s="187"/>
      <c r="T471" s="187"/>
      <c r="U471" s="187"/>
      <c r="V471" s="187"/>
    </row>
    <row r="472" spans="2:22" s="174" customFormat="1">
      <c r="S472" s="187"/>
      <c r="T472" s="187"/>
      <c r="U472" s="187"/>
      <c r="V472" s="187"/>
    </row>
    <row r="473" spans="2:22" s="174" customFormat="1">
      <c r="B473" s="185"/>
      <c r="P473" s="186"/>
      <c r="S473" s="187"/>
      <c r="T473" s="187"/>
      <c r="U473" s="187"/>
      <c r="V473" s="187"/>
    </row>
    <row r="474" spans="2:22" s="174" customFormat="1">
      <c r="S474" s="187"/>
      <c r="T474" s="187"/>
      <c r="U474" s="187"/>
      <c r="V474" s="187"/>
    </row>
    <row r="475" spans="2:22" s="174" customFormat="1">
      <c r="S475" s="187"/>
      <c r="T475" s="187"/>
      <c r="U475" s="187"/>
      <c r="V475" s="187"/>
    </row>
    <row r="476" spans="2:22" s="174" customFormat="1">
      <c r="B476" s="185"/>
      <c r="P476" s="186"/>
      <c r="S476" s="187"/>
      <c r="T476" s="187"/>
      <c r="U476" s="187"/>
      <c r="V476" s="187"/>
    </row>
    <row r="477" spans="2:22" s="174" customFormat="1">
      <c r="S477" s="187"/>
      <c r="T477" s="187"/>
      <c r="U477" s="187"/>
      <c r="V477" s="187"/>
    </row>
    <row r="478" spans="2:22" s="174" customFormat="1">
      <c r="S478" s="187"/>
      <c r="T478" s="187"/>
      <c r="U478" s="187"/>
      <c r="V478" s="187"/>
    </row>
    <row r="479" spans="2:22" s="174" customFormat="1">
      <c r="B479" s="185"/>
      <c r="P479" s="186"/>
      <c r="S479" s="187"/>
      <c r="T479" s="187"/>
      <c r="U479" s="187"/>
      <c r="V479" s="187"/>
    </row>
    <row r="480" spans="2:22" s="174" customFormat="1">
      <c r="S480" s="187"/>
      <c r="T480" s="187"/>
      <c r="U480" s="187"/>
      <c r="V480" s="187"/>
    </row>
    <row r="481" spans="2:22" s="174" customFormat="1">
      <c r="S481" s="187"/>
      <c r="T481" s="187"/>
      <c r="U481" s="187"/>
      <c r="V481" s="187"/>
    </row>
    <row r="482" spans="2:22" s="174" customFormat="1">
      <c r="B482" s="185"/>
      <c r="P482" s="186"/>
      <c r="S482" s="187"/>
      <c r="T482" s="187"/>
      <c r="U482" s="187"/>
      <c r="V482" s="187"/>
    </row>
    <row r="483" spans="2:22" s="174" customFormat="1">
      <c r="S483" s="187"/>
      <c r="T483" s="187"/>
      <c r="U483" s="187"/>
      <c r="V483" s="187"/>
    </row>
    <row r="484" spans="2:22" s="174" customFormat="1">
      <c r="S484" s="187"/>
      <c r="T484" s="187"/>
      <c r="U484" s="187"/>
      <c r="V484" s="187"/>
    </row>
    <row r="485" spans="2:22" s="174" customFormat="1">
      <c r="B485" s="185"/>
      <c r="P485" s="186"/>
      <c r="S485" s="187"/>
      <c r="T485" s="187"/>
      <c r="U485" s="187"/>
      <c r="V485" s="187"/>
    </row>
    <row r="486" spans="2:22" s="174" customFormat="1">
      <c r="S486" s="187"/>
      <c r="T486" s="187"/>
      <c r="U486" s="187"/>
      <c r="V486" s="187"/>
    </row>
    <row r="487" spans="2:22" s="174" customFormat="1">
      <c r="S487" s="187"/>
      <c r="T487" s="187"/>
      <c r="U487" s="187"/>
      <c r="V487" s="187"/>
    </row>
    <row r="488" spans="2:22" s="174" customFormat="1">
      <c r="B488" s="185"/>
      <c r="P488" s="186"/>
      <c r="S488" s="187"/>
      <c r="T488" s="187"/>
      <c r="U488" s="187"/>
      <c r="V488" s="187"/>
    </row>
    <row r="489" spans="2:22" s="174" customFormat="1">
      <c r="S489" s="187"/>
      <c r="T489" s="187"/>
      <c r="U489" s="187"/>
      <c r="V489" s="187"/>
    </row>
    <row r="490" spans="2:22" s="174" customFormat="1">
      <c r="S490" s="187"/>
      <c r="T490" s="187"/>
      <c r="U490" s="187"/>
      <c r="V490" s="187"/>
    </row>
    <row r="491" spans="2:22" s="174" customFormat="1">
      <c r="B491" s="185"/>
      <c r="P491" s="186"/>
      <c r="S491" s="187"/>
      <c r="T491" s="187"/>
      <c r="U491" s="187"/>
      <c r="V491" s="187"/>
    </row>
    <row r="492" spans="2:22" s="174" customFormat="1">
      <c r="S492" s="187"/>
      <c r="T492" s="187"/>
      <c r="U492" s="187"/>
      <c r="V492" s="187"/>
    </row>
    <row r="493" spans="2:22" s="174" customFormat="1">
      <c r="S493" s="187"/>
      <c r="T493" s="187"/>
      <c r="U493" s="187"/>
      <c r="V493" s="187"/>
    </row>
    <row r="494" spans="2:22" s="174" customFormat="1">
      <c r="B494" s="185"/>
      <c r="P494" s="186"/>
      <c r="S494" s="187"/>
      <c r="T494" s="187"/>
      <c r="U494" s="187"/>
      <c r="V494" s="187"/>
    </row>
    <row r="495" spans="2:22" s="174" customFormat="1">
      <c r="S495" s="187"/>
      <c r="T495" s="187"/>
      <c r="U495" s="187"/>
      <c r="V495" s="187"/>
    </row>
    <row r="496" spans="2:22" s="174" customFormat="1">
      <c r="S496" s="187"/>
      <c r="T496" s="187"/>
      <c r="U496" s="187"/>
      <c r="V496" s="187"/>
    </row>
    <row r="497" spans="2:22" s="174" customFormat="1">
      <c r="B497" s="185"/>
      <c r="P497" s="186"/>
      <c r="S497" s="187"/>
      <c r="T497" s="187"/>
      <c r="U497" s="187"/>
      <c r="V497" s="187"/>
    </row>
    <row r="498" spans="2:22" s="174" customFormat="1">
      <c r="S498" s="187"/>
      <c r="T498" s="187"/>
      <c r="U498" s="187"/>
      <c r="V498" s="187"/>
    </row>
    <row r="499" spans="2:22" s="174" customFormat="1">
      <c r="S499" s="187"/>
      <c r="T499" s="187"/>
      <c r="U499" s="187"/>
      <c r="V499" s="187"/>
    </row>
    <row r="500" spans="2:22" s="174" customFormat="1">
      <c r="B500" s="185"/>
      <c r="P500" s="186"/>
      <c r="S500" s="187"/>
      <c r="T500" s="187"/>
      <c r="U500" s="187"/>
      <c r="V500" s="187"/>
    </row>
    <row r="501" spans="2:22" s="174" customFormat="1">
      <c r="S501" s="187"/>
      <c r="T501" s="187"/>
      <c r="U501" s="187"/>
      <c r="V501" s="187"/>
    </row>
    <row r="502" spans="2:22" s="174" customFormat="1">
      <c r="S502" s="187"/>
      <c r="T502" s="187"/>
      <c r="U502" s="187"/>
      <c r="V502" s="187"/>
    </row>
    <row r="503" spans="2:22" s="174" customFormat="1">
      <c r="B503" s="185"/>
      <c r="P503" s="186"/>
      <c r="S503" s="187"/>
      <c r="T503" s="187"/>
      <c r="U503" s="187"/>
      <c r="V503" s="187"/>
    </row>
    <row r="504" spans="2:22" s="174" customFormat="1">
      <c r="S504" s="187"/>
      <c r="T504" s="187"/>
      <c r="U504" s="187"/>
      <c r="V504" s="187"/>
    </row>
    <row r="505" spans="2:22" s="174" customFormat="1">
      <c r="S505" s="187"/>
      <c r="T505" s="187"/>
      <c r="U505" s="187"/>
      <c r="V505" s="187"/>
    </row>
    <row r="506" spans="2:22" s="174" customFormat="1">
      <c r="B506" s="185"/>
      <c r="P506" s="186"/>
      <c r="S506" s="187"/>
      <c r="T506" s="187"/>
      <c r="U506" s="187"/>
      <c r="V506" s="187"/>
    </row>
    <row r="507" spans="2:22" s="174" customFormat="1">
      <c r="S507" s="187"/>
      <c r="T507" s="187"/>
      <c r="U507" s="187"/>
      <c r="V507" s="187"/>
    </row>
    <row r="508" spans="2:22" s="174" customFormat="1">
      <c r="S508" s="187"/>
      <c r="T508" s="187"/>
      <c r="U508" s="187"/>
      <c r="V508" s="187"/>
    </row>
    <row r="509" spans="2:22" s="174" customFormat="1">
      <c r="B509" s="185"/>
      <c r="P509" s="186"/>
      <c r="S509" s="187"/>
      <c r="T509" s="187"/>
      <c r="U509" s="187"/>
      <c r="V509" s="187"/>
    </row>
    <row r="510" spans="2:22" s="174" customFormat="1">
      <c r="S510" s="187"/>
      <c r="T510" s="187"/>
      <c r="U510" s="187"/>
      <c r="V510" s="187"/>
    </row>
    <row r="511" spans="2:22" s="174" customFormat="1">
      <c r="S511" s="187"/>
      <c r="T511" s="187"/>
      <c r="U511" s="187"/>
      <c r="V511" s="187"/>
    </row>
    <row r="512" spans="2:22" s="174" customFormat="1">
      <c r="B512" s="185"/>
      <c r="P512" s="186"/>
      <c r="S512" s="187"/>
      <c r="T512" s="187"/>
      <c r="U512" s="187"/>
      <c r="V512" s="187"/>
    </row>
    <row r="513" spans="2:22" s="174" customFormat="1">
      <c r="S513" s="187"/>
      <c r="T513" s="187"/>
      <c r="U513" s="187"/>
      <c r="V513" s="187"/>
    </row>
    <row r="514" spans="2:22" s="174" customFormat="1">
      <c r="S514" s="187"/>
      <c r="T514" s="187"/>
      <c r="U514" s="187"/>
      <c r="V514" s="187"/>
    </row>
    <row r="515" spans="2:22" s="174" customFormat="1">
      <c r="B515" s="185"/>
      <c r="P515" s="186"/>
      <c r="S515" s="187"/>
      <c r="T515" s="187"/>
      <c r="U515" s="187"/>
      <c r="V515" s="187"/>
    </row>
    <row r="516" spans="2:22" s="174" customFormat="1">
      <c r="S516" s="187"/>
      <c r="T516" s="187"/>
      <c r="U516" s="187"/>
      <c r="V516" s="187"/>
    </row>
    <row r="517" spans="2:22" s="174" customFormat="1">
      <c r="S517" s="187"/>
      <c r="T517" s="187"/>
      <c r="U517" s="187"/>
      <c r="V517" s="187"/>
    </row>
    <row r="518" spans="2:22" s="174" customFormat="1">
      <c r="B518" s="185"/>
      <c r="P518" s="186"/>
      <c r="S518" s="187"/>
      <c r="T518" s="187"/>
      <c r="U518" s="187"/>
      <c r="V518" s="187"/>
    </row>
    <row r="519" spans="2:22" s="174" customFormat="1">
      <c r="S519" s="187"/>
      <c r="T519" s="187"/>
      <c r="U519" s="187"/>
      <c r="V519" s="187"/>
    </row>
    <row r="520" spans="2:22" s="174" customFormat="1">
      <c r="S520" s="187"/>
      <c r="T520" s="187"/>
      <c r="U520" s="187"/>
      <c r="V520" s="187"/>
    </row>
    <row r="521" spans="2:22" s="174" customFormat="1">
      <c r="B521" s="185"/>
      <c r="P521" s="186"/>
      <c r="S521" s="187"/>
      <c r="T521" s="187"/>
      <c r="U521" s="187"/>
      <c r="V521" s="187"/>
    </row>
    <row r="522" spans="2:22" s="174" customFormat="1">
      <c r="S522" s="187"/>
      <c r="T522" s="187"/>
      <c r="U522" s="187"/>
      <c r="V522" s="187"/>
    </row>
    <row r="523" spans="2:22" s="174" customFormat="1">
      <c r="S523" s="187"/>
      <c r="T523" s="187"/>
      <c r="U523" s="187"/>
      <c r="V523" s="187"/>
    </row>
    <row r="524" spans="2:22" s="174" customFormat="1">
      <c r="B524" s="185"/>
      <c r="P524" s="186"/>
      <c r="S524" s="187"/>
      <c r="T524" s="187"/>
      <c r="U524" s="187"/>
      <c r="V524" s="187"/>
    </row>
    <row r="525" spans="2:22" s="174" customFormat="1">
      <c r="S525" s="187"/>
      <c r="T525" s="187"/>
      <c r="U525" s="187"/>
      <c r="V525" s="187"/>
    </row>
    <row r="526" spans="2:22" s="174" customFormat="1">
      <c r="S526" s="187"/>
      <c r="T526" s="187"/>
      <c r="U526" s="187"/>
      <c r="V526" s="187"/>
    </row>
    <row r="527" spans="2:22" s="174" customFormat="1">
      <c r="B527" s="185"/>
      <c r="P527" s="186"/>
      <c r="S527" s="187"/>
      <c r="T527" s="187"/>
      <c r="U527" s="187"/>
      <c r="V527" s="187"/>
    </row>
    <row r="528" spans="2:22" s="174" customFormat="1">
      <c r="S528" s="187"/>
      <c r="T528" s="187"/>
      <c r="U528" s="187"/>
      <c r="V528" s="187"/>
    </row>
    <row r="529" spans="2:22" s="174" customFormat="1">
      <c r="S529" s="187"/>
      <c r="T529" s="187"/>
      <c r="U529" s="187"/>
      <c r="V529" s="187"/>
    </row>
    <row r="530" spans="2:22" s="174" customFormat="1">
      <c r="B530" s="185"/>
      <c r="P530" s="186"/>
      <c r="S530" s="187"/>
      <c r="T530" s="187"/>
      <c r="U530" s="187"/>
      <c r="V530" s="187"/>
    </row>
    <row r="531" spans="2:22" s="174" customFormat="1">
      <c r="S531" s="187"/>
      <c r="T531" s="187"/>
      <c r="U531" s="187"/>
      <c r="V531" s="187"/>
    </row>
    <row r="532" spans="2:22" s="174" customFormat="1">
      <c r="S532" s="187"/>
      <c r="T532" s="187"/>
      <c r="U532" s="187"/>
      <c r="V532" s="187"/>
    </row>
    <row r="533" spans="2:22" s="174" customFormat="1">
      <c r="B533" s="185"/>
      <c r="P533" s="186"/>
      <c r="S533" s="187"/>
      <c r="T533" s="187"/>
      <c r="U533" s="187"/>
      <c r="V533" s="187"/>
    </row>
    <row r="534" spans="2:22" s="174" customFormat="1">
      <c r="S534" s="187"/>
      <c r="T534" s="187"/>
      <c r="U534" s="187"/>
      <c r="V534" s="187"/>
    </row>
    <row r="535" spans="2:22" s="174" customFormat="1">
      <c r="S535" s="187"/>
      <c r="T535" s="187"/>
      <c r="U535" s="187"/>
      <c r="V535" s="187"/>
    </row>
    <row r="536" spans="2:22" s="174" customFormat="1">
      <c r="B536" s="185"/>
      <c r="P536" s="186"/>
      <c r="S536" s="187"/>
      <c r="T536" s="187"/>
      <c r="U536" s="187"/>
      <c r="V536" s="187"/>
    </row>
    <row r="537" spans="2:22" s="174" customFormat="1">
      <c r="S537" s="187"/>
      <c r="T537" s="187"/>
      <c r="U537" s="187"/>
      <c r="V537" s="187"/>
    </row>
    <row r="538" spans="2:22" s="174" customFormat="1">
      <c r="S538" s="187"/>
      <c r="T538" s="187"/>
      <c r="U538" s="187"/>
      <c r="V538" s="187"/>
    </row>
    <row r="539" spans="2:22" s="174" customFormat="1">
      <c r="B539" s="185"/>
      <c r="P539" s="186"/>
      <c r="S539" s="187"/>
      <c r="T539" s="187"/>
      <c r="U539" s="187"/>
      <c r="V539" s="187"/>
    </row>
    <row r="540" spans="2:22" s="174" customFormat="1">
      <c r="S540" s="187"/>
      <c r="T540" s="187"/>
      <c r="U540" s="187"/>
      <c r="V540" s="187"/>
    </row>
    <row r="541" spans="2:22" s="174" customFormat="1">
      <c r="S541" s="187"/>
      <c r="T541" s="187"/>
      <c r="U541" s="187"/>
      <c r="V541" s="187"/>
    </row>
    <row r="542" spans="2:22" s="174" customFormat="1">
      <c r="B542" s="185"/>
      <c r="P542" s="186"/>
      <c r="S542" s="187"/>
      <c r="T542" s="187"/>
      <c r="U542" s="187"/>
      <c r="V542" s="187"/>
    </row>
    <row r="543" spans="2:22" s="174" customFormat="1">
      <c r="S543" s="187"/>
      <c r="T543" s="187"/>
      <c r="U543" s="187"/>
      <c r="V543" s="187"/>
    </row>
    <row r="544" spans="2:22" s="174" customFormat="1">
      <c r="S544" s="187"/>
      <c r="T544" s="187"/>
      <c r="U544" s="187"/>
      <c r="V544" s="187"/>
    </row>
    <row r="545" spans="2:22" s="174" customFormat="1">
      <c r="B545" s="185"/>
      <c r="P545" s="186"/>
      <c r="S545" s="187"/>
      <c r="T545" s="187"/>
      <c r="U545" s="187"/>
      <c r="V545" s="187"/>
    </row>
    <row r="546" spans="2:22" s="174" customFormat="1">
      <c r="S546" s="187"/>
      <c r="T546" s="187"/>
      <c r="U546" s="187"/>
      <c r="V546" s="187"/>
    </row>
    <row r="547" spans="2:22" s="174" customFormat="1">
      <c r="S547" s="187"/>
      <c r="T547" s="187"/>
      <c r="U547" s="187"/>
      <c r="V547" s="187"/>
    </row>
    <row r="548" spans="2:22" s="174" customFormat="1">
      <c r="B548" s="185"/>
      <c r="P548" s="186"/>
      <c r="S548" s="187"/>
      <c r="T548" s="187"/>
      <c r="U548" s="187"/>
      <c r="V548" s="187"/>
    </row>
    <row r="549" spans="2:22" s="174" customFormat="1">
      <c r="S549" s="187"/>
      <c r="T549" s="187"/>
      <c r="U549" s="187"/>
      <c r="V549" s="187"/>
    </row>
    <row r="550" spans="2:22" s="174" customFormat="1">
      <c r="S550" s="187"/>
      <c r="T550" s="187"/>
      <c r="U550" s="187"/>
      <c r="V550" s="187"/>
    </row>
    <row r="551" spans="2:22" s="174" customFormat="1">
      <c r="B551" s="185"/>
      <c r="P551" s="186"/>
      <c r="S551" s="187"/>
      <c r="T551" s="187"/>
      <c r="U551" s="187"/>
      <c r="V551" s="187"/>
    </row>
    <row r="552" spans="2:22" s="174" customFormat="1">
      <c r="S552" s="187"/>
      <c r="T552" s="187"/>
      <c r="U552" s="187"/>
      <c r="V552" s="187"/>
    </row>
    <row r="553" spans="2:22" s="174" customFormat="1">
      <c r="S553" s="187"/>
      <c r="T553" s="187"/>
      <c r="U553" s="187"/>
      <c r="V553" s="187"/>
    </row>
    <row r="554" spans="2:22" s="174" customFormat="1">
      <c r="B554" s="185"/>
      <c r="P554" s="186"/>
      <c r="S554" s="187"/>
      <c r="T554" s="187"/>
      <c r="U554" s="187"/>
      <c r="V554" s="187"/>
    </row>
    <row r="555" spans="2:22" s="174" customFormat="1">
      <c r="S555" s="187"/>
      <c r="T555" s="187"/>
      <c r="U555" s="187"/>
      <c r="V555" s="187"/>
    </row>
    <row r="556" spans="2:22" s="174" customFormat="1">
      <c r="S556" s="187"/>
      <c r="T556" s="187"/>
      <c r="U556" s="187"/>
      <c r="V556" s="187"/>
    </row>
    <row r="557" spans="2:22" s="174" customFormat="1">
      <c r="B557" s="185"/>
      <c r="P557" s="186"/>
      <c r="S557" s="187"/>
      <c r="T557" s="187"/>
      <c r="U557" s="187"/>
      <c r="V557" s="187"/>
    </row>
    <row r="558" spans="2:22" s="174" customFormat="1">
      <c r="S558" s="187"/>
      <c r="T558" s="187"/>
      <c r="U558" s="187"/>
      <c r="V558" s="187"/>
    </row>
    <row r="559" spans="2:22" s="174" customFormat="1">
      <c r="S559" s="187"/>
      <c r="T559" s="187"/>
      <c r="U559" s="187"/>
      <c r="V559" s="187"/>
    </row>
    <row r="560" spans="2:22" s="174" customFormat="1">
      <c r="B560" s="185"/>
      <c r="P560" s="186"/>
      <c r="S560" s="187"/>
      <c r="T560" s="187"/>
      <c r="U560" s="187"/>
      <c r="V560" s="187"/>
    </row>
    <row r="561" spans="2:22" s="174" customFormat="1">
      <c r="S561" s="187"/>
      <c r="T561" s="187"/>
      <c r="U561" s="187"/>
      <c r="V561" s="187"/>
    </row>
    <row r="562" spans="2:22" s="174" customFormat="1">
      <c r="S562" s="187"/>
      <c r="T562" s="187"/>
      <c r="U562" s="187"/>
      <c r="V562" s="187"/>
    </row>
    <row r="563" spans="2:22" s="174" customFormat="1">
      <c r="B563" s="185"/>
      <c r="P563" s="186"/>
      <c r="S563" s="187"/>
      <c r="T563" s="187"/>
      <c r="U563" s="187"/>
      <c r="V563" s="187"/>
    </row>
    <row r="564" spans="2:22" s="174" customFormat="1">
      <c r="S564" s="187"/>
      <c r="T564" s="187"/>
      <c r="U564" s="187"/>
      <c r="V564" s="187"/>
    </row>
    <row r="565" spans="2:22" s="174" customFormat="1">
      <c r="S565" s="187"/>
      <c r="T565" s="187"/>
      <c r="U565" s="187"/>
      <c r="V565" s="187"/>
    </row>
    <row r="566" spans="2:22" s="174" customFormat="1">
      <c r="B566" s="185"/>
      <c r="P566" s="186"/>
      <c r="S566" s="187"/>
      <c r="T566" s="187"/>
      <c r="U566" s="187"/>
      <c r="V566" s="187"/>
    </row>
    <row r="567" spans="2:22" s="174" customFormat="1">
      <c r="S567" s="187"/>
      <c r="T567" s="187"/>
      <c r="U567" s="187"/>
      <c r="V567" s="187"/>
    </row>
    <row r="568" spans="2:22" s="174" customFormat="1">
      <c r="S568" s="187"/>
      <c r="T568" s="187"/>
      <c r="U568" s="187"/>
      <c r="V568" s="187"/>
    </row>
    <row r="569" spans="2:22" s="174" customFormat="1">
      <c r="B569" s="185"/>
      <c r="P569" s="186"/>
      <c r="S569" s="187"/>
      <c r="T569" s="187"/>
      <c r="U569" s="187"/>
      <c r="V569" s="187"/>
    </row>
    <row r="570" spans="2:22" s="174" customFormat="1">
      <c r="S570" s="187"/>
      <c r="T570" s="187"/>
      <c r="U570" s="187"/>
      <c r="V570" s="187"/>
    </row>
    <row r="571" spans="2:22" s="174" customFormat="1">
      <c r="S571" s="187"/>
      <c r="T571" s="187"/>
      <c r="U571" s="187"/>
      <c r="V571" s="187"/>
    </row>
    <row r="572" spans="2:22" s="174" customFormat="1">
      <c r="B572" s="185"/>
      <c r="P572" s="186"/>
      <c r="S572" s="187"/>
      <c r="T572" s="187"/>
      <c r="U572" s="187"/>
      <c r="V572" s="187"/>
    </row>
    <row r="573" spans="2:22" s="174" customFormat="1">
      <c r="S573" s="187"/>
      <c r="T573" s="187"/>
      <c r="U573" s="187"/>
      <c r="V573" s="187"/>
    </row>
    <row r="574" spans="2:22" s="174" customFormat="1">
      <c r="S574" s="187"/>
      <c r="T574" s="187"/>
      <c r="U574" s="187"/>
      <c r="V574" s="187"/>
    </row>
    <row r="575" spans="2:22" s="174" customFormat="1">
      <c r="B575" s="185"/>
      <c r="P575" s="186"/>
      <c r="S575" s="187"/>
      <c r="T575" s="187"/>
      <c r="U575" s="187"/>
      <c r="V575" s="187"/>
    </row>
    <row r="576" spans="2:22" s="174" customFormat="1">
      <c r="S576" s="187"/>
      <c r="T576" s="187"/>
      <c r="U576" s="187"/>
      <c r="V576" s="187"/>
    </row>
    <row r="577" spans="2:22" s="174" customFormat="1">
      <c r="S577" s="187"/>
      <c r="T577" s="187"/>
      <c r="U577" s="187"/>
      <c r="V577" s="187"/>
    </row>
    <row r="578" spans="2:22" s="174" customFormat="1">
      <c r="B578" s="185"/>
      <c r="P578" s="186"/>
      <c r="S578" s="187"/>
      <c r="T578" s="187"/>
      <c r="U578" s="187"/>
      <c r="V578" s="187"/>
    </row>
    <row r="579" spans="2:22" s="174" customFormat="1">
      <c r="S579" s="187"/>
      <c r="T579" s="187"/>
      <c r="U579" s="187"/>
      <c r="V579" s="187"/>
    </row>
    <row r="580" spans="2:22" s="174" customFormat="1">
      <c r="S580" s="187"/>
      <c r="T580" s="187"/>
      <c r="U580" s="187"/>
      <c r="V580" s="187"/>
    </row>
    <row r="581" spans="2:22" s="174" customFormat="1">
      <c r="B581" s="185"/>
      <c r="P581" s="186"/>
      <c r="S581" s="187"/>
      <c r="T581" s="187"/>
      <c r="U581" s="187"/>
      <c r="V581" s="187"/>
    </row>
    <row r="582" spans="2:22" s="174" customFormat="1">
      <c r="S582" s="187"/>
      <c r="T582" s="187"/>
      <c r="U582" s="187"/>
      <c r="V582" s="187"/>
    </row>
    <row r="583" spans="2:22" s="174" customFormat="1">
      <c r="S583" s="187"/>
      <c r="T583" s="187"/>
      <c r="U583" s="187"/>
      <c r="V583" s="187"/>
    </row>
    <row r="584" spans="2:22" s="174" customFormat="1">
      <c r="B584" s="185"/>
      <c r="P584" s="186"/>
      <c r="S584" s="187"/>
      <c r="T584" s="187"/>
      <c r="U584" s="187"/>
      <c r="V584" s="187"/>
    </row>
    <row r="585" spans="2:22" s="174" customFormat="1">
      <c r="S585" s="187"/>
      <c r="T585" s="187"/>
      <c r="U585" s="187"/>
      <c r="V585" s="187"/>
    </row>
    <row r="586" spans="2:22" s="174" customFormat="1">
      <c r="S586" s="187"/>
      <c r="T586" s="187"/>
      <c r="U586" s="187"/>
      <c r="V586" s="187"/>
    </row>
    <row r="587" spans="2:22" s="174" customFormat="1">
      <c r="B587" s="185"/>
      <c r="P587" s="186"/>
      <c r="S587" s="187"/>
      <c r="T587" s="187"/>
      <c r="U587" s="187"/>
      <c r="V587" s="187"/>
    </row>
    <row r="588" spans="2:22" s="174" customFormat="1">
      <c r="S588" s="187"/>
      <c r="T588" s="187"/>
      <c r="U588" s="187"/>
      <c r="V588" s="187"/>
    </row>
    <row r="589" spans="2:22" s="174" customFormat="1">
      <c r="S589" s="187"/>
      <c r="T589" s="187"/>
      <c r="U589" s="187"/>
      <c r="V589" s="187"/>
    </row>
    <row r="590" spans="2:22" s="174" customFormat="1">
      <c r="B590" s="185"/>
      <c r="P590" s="186"/>
      <c r="S590" s="187"/>
      <c r="T590" s="187"/>
      <c r="U590" s="187"/>
      <c r="V590" s="187"/>
    </row>
    <row r="591" spans="2:22" s="174" customFormat="1">
      <c r="S591" s="187"/>
      <c r="T591" s="187"/>
      <c r="U591" s="187"/>
      <c r="V591" s="187"/>
    </row>
    <row r="592" spans="2:22" s="174" customFormat="1">
      <c r="S592" s="187"/>
      <c r="T592" s="187"/>
      <c r="U592" s="187"/>
      <c r="V592" s="187"/>
    </row>
    <row r="593" spans="2:22" s="174" customFormat="1">
      <c r="B593" s="185"/>
      <c r="P593" s="186"/>
      <c r="S593" s="187"/>
      <c r="T593" s="187"/>
      <c r="U593" s="187"/>
      <c r="V593" s="187"/>
    </row>
    <row r="594" spans="2:22" s="174" customFormat="1">
      <c r="S594" s="187"/>
      <c r="T594" s="187"/>
      <c r="U594" s="187"/>
      <c r="V594" s="187"/>
    </row>
    <row r="595" spans="2:22" s="174" customFormat="1">
      <c r="S595" s="187"/>
      <c r="T595" s="187"/>
      <c r="U595" s="187"/>
      <c r="V595" s="187"/>
    </row>
    <row r="596" spans="2:22" s="174" customFormat="1">
      <c r="B596" s="185"/>
      <c r="P596" s="186"/>
      <c r="S596" s="187"/>
      <c r="T596" s="187"/>
      <c r="U596" s="187"/>
      <c r="V596" s="187"/>
    </row>
    <row r="597" spans="2:22" s="174" customFormat="1">
      <c r="S597" s="187"/>
      <c r="T597" s="187"/>
      <c r="U597" s="187"/>
      <c r="V597" s="187"/>
    </row>
    <row r="598" spans="2:22" s="174" customFormat="1">
      <c r="S598" s="187"/>
      <c r="T598" s="187"/>
      <c r="U598" s="187"/>
      <c r="V598" s="187"/>
    </row>
    <row r="599" spans="2:22" s="174" customFormat="1">
      <c r="B599" s="185"/>
      <c r="P599" s="186"/>
      <c r="S599" s="187"/>
      <c r="T599" s="187"/>
      <c r="U599" s="187"/>
      <c r="V599" s="187"/>
    </row>
    <row r="600" spans="2:22" s="174" customFormat="1">
      <c r="S600" s="187"/>
      <c r="T600" s="187"/>
      <c r="U600" s="187"/>
      <c r="V600" s="187"/>
    </row>
    <row r="601" spans="2:22" s="174" customFormat="1">
      <c r="S601" s="187"/>
      <c r="T601" s="187"/>
      <c r="U601" s="187"/>
      <c r="V601" s="187"/>
    </row>
    <row r="602" spans="2:22" s="174" customFormat="1">
      <c r="B602" s="185"/>
      <c r="P602" s="186"/>
      <c r="S602" s="187"/>
      <c r="T602" s="187"/>
      <c r="U602" s="187"/>
      <c r="V602" s="187"/>
    </row>
    <row r="603" spans="2:22" s="174" customFormat="1">
      <c r="S603" s="187"/>
      <c r="T603" s="187"/>
      <c r="U603" s="187"/>
      <c r="V603" s="187"/>
    </row>
    <row r="604" spans="2:22" s="174" customFormat="1">
      <c r="S604" s="187"/>
      <c r="T604" s="187"/>
      <c r="U604" s="187"/>
      <c r="V604" s="187"/>
    </row>
    <row r="605" spans="2:22" s="174" customFormat="1">
      <c r="B605" s="185"/>
      <c r="P605" s="186"/>
      <c r="S605" s="187"/>
      <c r="T605" s="187"/>
      <c r="U605" s="187"/>
      <c r="V605" s="187"/>
    </row>
    <row r="606" spans="2:22" s="174" customFormat="1">
      <c r="S606" s="187"/>
      <c r="T606" s="187"/>
      <c r="U606" s="187"/>
      <c r="V606" s="187"/>
    </row>
    <row r="607" spans="2:22" s="174" customFormat="1">
      <c r="S607" s="187"/>
      <c r="T607" s="187"/>
      <c r="U607" s="187"/>
      <c r="V607" s="187"/>
    </row>
    <row r="608" spans="2:22" s="174" customFormat="1">
      <c r="B608" s="185"/>
      <c r="P608" s="186"/>
      <c r="S608" s="187"/>
      <c r="T608" s="187"/>
      <c r="U608" s="187"/>
      <c r="V608" s="187"/>
    </row>
    <row r="609" spans="2:22" s="174" customFormat="1">
      <c r="S609" s="187"/>
      <c r="T609" s="187"/>
      <c r="U609" s="187"/>
      <c r="V609" s="187"/>
    </row>
    <row r="610" spans="2:22" s="174" customFormat="1">
      <c r="S610" s="187"/>
      <c r="T610" s="187"/>
      <c r="U610" s="187"/>
      <c r="V610" s="187"/>
    </row>
    <row r="611" spans="2:22" s="174" customFormat="1">
      <c r="B611" s="185"/>
      <c r="P611" s="186"/>
      <c r="S611" s="187"/>
      <c r="T611" s="187"/>
      <c r="U611" s="187"/>
      <c r="V611" s="187"/>
    </row>
    <row r="612" spans="2:22" s="174" customFormat="1">
      <c r="S612" s="187"/>
      <c r="T612" s="187"/>
      <c r="U612" s="187"/>
      <c r="V612" s="187"/>
    </row>
    <row r="613" spans="2:22" s="174" customFormat="1">
      <c r="S613" s="187"/>
      <c r="T613" s="187"/>
      <c r="U613" s="187"/>
      <c r="V613" s="187"/>
    </row>
    <row r="614" spans="2:22" s="174" customFormat="1">
      <c r="B614" s="185"/>
      <c r="P614" s="186"/>
      <c r="S614" s="187"/>
      <c r="T614" s="187"/>
      <c r="U614" s="187"/>
      <c r="V614" s="187"/>
    </row>
    <row r="615" spans="2:22" s="174" customFormat="1">
      <c r="S615" s="187"/>
      <c r="T615" s="187"/>
      <c r="U615" s="187"/>
      <c r="V615" s="187"/>
    </row>
    <row r="616" spans="2:22" s="174" customFormat="1">
      <c r="S616" s="187"/>
      <c r="T616" s="187"/>
      <c r="U616" s="187"/>
      <c r="V616" s="187"/>
    </row>
    <row r="617" spans="2:22" s="174" customFormat="1">
      <c r="B617" s="185"/>
      <c r="P617" s="186"/>
      <c r="S617" s="187"/>
      <c r="T617" s="187"/>
      <c r="U617" s="187"/>
      <c r="V617" s="187"/>
    </row>
    <row r="618" spans="2:22" s="174" customFormat="1"/>
    <row r="619" spans="2:22" s="174" customFormat="1"/>
    <row r="620" spans="2:22" s="174" customFormat="1"/>
    <row r="621" spans="2:22" s="174" customFormat="1"/>
    <row r="622" spans="2:22" s="174" customFormat="1"/>
    <row r="623" spans="2:22" s="174" customFormat="1"/>
    <row r="624" spans="2:22" s="174" customFormat="1"/>
    <row r="625" s="174" customFormat="1"/>
    <row r="626" s="174" customFormat="1"/>
    <row r="627" s="174" customFormat="1"/>
    <row r="628" s="174" customFormat="1"/>
    <row r="629" s="174" customFormat="1"/>
    <row r="630" s="174" customFormat="1"/>
    <row r="631" s="174" customFormat="1"/>
    <row r="632" s="174" customFormat="1"/>
    <row r="633" s="174" customFormat="1"/>
    <row r="634" s="174" customFormat="1"/>
    <row r="635" s="174" customFormat="1"/>
    <row r="636" s="174" customFormat="1"/>
    <row r="637" s="174" customFormat="1"/>
    <row r="638" s="174" customFormat="1"/>
    <row r="639" s="174" customFormat="1"/>
    <row r="640" s="174" customFormat="1"/>
    <row r="641" s="174" customFormat="1"/>
    <row r="642" s="174" customFormat="1"/>
    <row r="643" s="174" customFormat="1"/>
    <row r="644" s="174" customFormat="1"/>
    <row r="645" s="174" customFormat="1"/>
    <row r="646" s="174" customFormat="1"/>
    <row r="647" s="174" customFormat="1"/>
    <row r="648" s="174" customFormat="1"/>
    <row r="649" s="174" customFormat="1"/>
    <row r="650" s="174" customFormat="1"/>
    <row r="651" s="174" customFormat="1"/>
    <row r="652" s="174" customFormat="1"/>
    <row r="653" s="174" customFormat="1"/>
    <row r="654" s="174" customFormat="1"/>
    <row r="655" s="174" customFormat="1"/>
    <row r="656" s="174" customFormat="1"/>
    <row r="657" s="174" customFormat="1"/>
    <row r="658" s="174" customFormat="1"/>
    <row r="659" s="174" customFormat="1"/>
    <row r="660" s="174" customFormat="1"/>
    <row r="661" s="174" customFormat="1"/>
    <row r="662" s="174" customFormat="1"/>
    <row r="663" s="174" customFormat="1"/>
    <row r="664" s="174" customFormat="1"/>
    <row r="665" s="174" customFormat="1"/>
    <row r="666" s="174" customFormat="1"/>
    <row r="667" s="174" customFormat="1"/>
    <row r="668" s="174" customFormat="1"/>
    <row r="669" s="174" customFormat="1"/>
    <row r="670" s="174" customFormat="1"/>
    <row r="671" s="174" customFormat="1"/>
    <row r="672" s="174" customFormat="1"/>
    <row r="673" s="174" customFormat="1"/>
    <row r="674" s="174" customFormat="1"/>
    <row r="675" s="174" customFormat="1"/>
    <row r="676" s="174" customFormat="1"/>
    <row r="677" s="174" customFormat="1"/>
    <row r="678" s="174" customFormat="1"/>
    <row r="679" s="174" customFormat="1"/>
    <row r="680" s="174" customFormat="1"/>
    <row r="681" s="174" customFormat="1"/>
    <row r="682" s="174" customFormat="1"/>
    <row r="683" s="174" customFormat="1"/>
    <row r="684" s="174" customFormat="1"/>
    <row r="685" s="174" customFormat="1"/>
    <row r="686" s="174" customFormat="1"/>
    <row r="687" s="174" customFormat="1"/>
    <row r="688" s="174" customFormat="1"/>
    <row r="689" s="174" customFormat="1"/>
    <row r="690" s="174" customFormat="1"/>
    <row r="691" s="174" customFormat="1"/>
    <row r="692" s="174" customFormat="1"/>
    <row r="693" s="174" customFormat="1"/>
    <row r="694" s="174" customFormat="1"/>
    <row r="695" s="174" customFormat="1"/>
    <row r="696" s="174" customFormat="1"/>
    <row r="697" s="174" customFormat="1"/>
    <row r="698" s="174" customFormat="1"/>
    <row r="699" s="174" customFormat="1"/>
    <row r="700" s="174" customFormat="1"/>
    <row r="701" s="174" customFormat="1"/>
    <row r="702" s="174" customFormat="1"/>
    <row r="703" s="174" customFormat="1"/>
    <row r="704" s="174" customFormat="1"/>
    <row r="705" s="174" customFormat="1"/>
    <row r="706" s="174" customFormat="1"/>
    <row r="707" s="174" customFormat="1"/>
    <row r="708" s="174" customFormat="1"/>
    <row r="709" s="174" customFormat="1"/>
    <row r="710" s="174" customFormat="1"/>
    <row r="711" s="174" customFormat="1"/>
    <row r="712" s="174" customFormat="1"/>
    <row r="713" s="174" customFormat="1"/>
    <row r="714" s="174" customFormat="1"/>
    <row r="715" s="174" customFormat="1"/>
    <row r="716" s="174" customFormat="1"/>
    <row r="717" s="174" customFormat="1"/>
    <row r="718" s="174" customFormat="1"/>
    <row r="719" s="174" customFormat="1"/>
    <row r="720" s="174" customFormat="1"/>
    <row r="721" s="174" customFormat="1"/>
    <row r="722" s="174" customFormat="1"/>
    <row r="723" s="174" customFormat="1"/>
    <row r="724" s="174" customFormat="1"/>
    <row r="725" s="174" customFormat="1"/>
    <row r="726" s="174" customFormat="1"/>
    <row r="727" s="174" customFormat="1"/>
    <row r="728" s="174" customFormat="1"/>
    <row r="729" s="174" customFormat="1"/>
    <row r="730" s="174" customFormat="1"/>
    <row r="731" s="174" customFormat="1"/>
    <row r="732" s="174" customFormat="1"/>
    <row r="733" s="174" customFormat="1"/>
    <row r="734" s="174" customFormat="1"/>
    <row r="735" s="174" customFormat="1"/>
    <row r="736" s="174" customFormat="1"/>
    <row r="737" s="174" customFormat="1"/>
    <row r="738" s="174" customFormat="1"/>
    <row r="739" s="174" customFormat="1"/>
    <row r="740" s="174" customFormat="1"/>
    <row r="741" s="174" customFormat="1"/>
    <row r="742" s="174" customFormat="1"/>
    <row r="743" s="174" customFormat="1"/>
    <row r="744" s="174" customFormat="1"/>
    <row r="745" s="174" customFormat="1"/>
    <row r="746" s="174" customFormat="1"/>
    <row r="747" s="174" customFormat="1"/>
    <row r="748" s="174" customFormat="1"/>
    <row r="749" s="174" customFormat="1"/>
    <row r="750" s="174" customFormat="1"/>
    <row r="751" s="174" customFormat="1"/>
    <row r="752" s="174" customFormat="1"/>
    <row r="753" s="174" customFormat="1"/>
    <row r="754" s="174" customFormat="1"/>
    <row r="755" s="174" customFormat="1"/>
    <row r="756" s="174" customFormat="1"/>
    <row r="757" s="174" customFormat="1"/>
    <row r="758" s="174" customFormat="1"/>
    <row r="759" s="174" customFormat="1"/>
    <row r="760" s="174" customFormat="1"/>
    <row r="761" s="174" customFormat="1"/>
    <row r="762" s="174" customFormat="1"/>
    <row r="763" s="174" customFormat="1"/>
    <row r="764" s="174" customFormat="1"/>
    <row r="765" s="174" customFormat="1"/>
    <row r="766" s="174" customFormat="1"/>
    <row r="767" s="174" customFormat="1"/>
    <row r="768" s="174" customFormat="1"/>
    <row r="769" s="174" customFormat="1"/>
    <row r="770" s="174" customFormat="1"/>
    <row r="771" s="174" customFormat="1"/>
    <row r="772" s="174" customFormat="1"/>
    <row r="773" s="174" customFormat="1"/>
    <row r="774" s="174" customFormat="1"/>
    <row r="775" s="174" customFormat="1"/>
    <row r="776" s="174" customFormat="1"/>
    <row r="777" s="174" customFormat="1"/>
    <row r="778" s="174" customFormat="1"/>
    <row r="779" s="174" customFormat="1"/>
    <row r="780" s="174" customFormat="1"/>
    <row r="781" s="174" customFormat="1"/>
    <row r="782" s="174" customFormat="1"/>
    <row r="783" s="174" customFormat="1"/>
    <row r="784" s="174" customFormat="1"/>
    <row r="785" s="174" customFormat="1"/>
    <row r="786" s="174" customFormat="1"/>
    <row r="787" s="174" customFormat="1"/>
    <row r="788" s="174" customFormat="1"/>
    <row r="789" s="174" customFormat="1"/>
    <row r="790" s="174" customFormat="1"/>
    <row r="791" s="174" customFormat="1"/>
    <row r="792" s="174" customFormat="1"/>
    <row r="793" s="174" customFormat="1"/>
    <row r="794" s="174" customFormat="1"/>
    <row r="795" s="174" customFormat="1"/>
    <row r="796" s="174" customFormat="1"/>
    <row r="797" s="174" customFormat="1"/>
    <row r="798" s="174" customFormat="1"/>
    <row r="799" s="174" customFormat="1"/>
    <row r="800" s="174" customFormat="1"/>
    <row r="801" s="174" customFormat="1"/>
    <row r="802" s="174" customFormat="1"/>
    <row r="803" s="174" customFormat="1"/>
    <row r="804" s="174" customFormat="1"/>
    <row r="805" s="174" customFormat="1"/>
    <row r="806" s="174" customFormat="1"/>
    <row r="807" s="174" customFormat="1"/>
    <row r="808" s="174" customFormat="1"/>
    <row r="809" s="174" customFormat="1"/>
    <row r="810" s="174" customFormat="1"/>
    <row r="811" s="174" customFormat="1"/>
    <row r="812" s="174" customFormat="1"/>
    <row r="813" s="174" customFormat="1"/>
    <row r="814" s="174" customFormat="1"/>
    <row r="815" s="174" customFormat="1"/>
    <row r="816" s="174" customFormat="1"/>
    <row r="817" s="174" customFormat="1"/>
    <row r="818" s="174" customFormat="1"/>
    <row r="819" s="174" customFormat="1"/>
    <row r="820" s="174" customFormat="1"/>
    <row r="821" s="174" customFormat="1"/>
    <row r="822" s="174" customFormat="1"/>
    <row r="823" s="174" customFormat="1"/>
    <row r="824" s="174" customFormat="1"/>
    <row r="825" s="174" customFormat="1"/>
    <row r="826" s="174" customFormat="1"/>
    <row r="827" s="174" customFormat="1"/>
    <row r="828" s="174" customFormat="1"/>
    <row r="829" s="174" customFormat="1"/>
    <row r="830" s="174" customFormat="1"/>
    <row r="831" s="174" customFormat="1"/>
    <row r="832" s="174" customFormat="1"/>
    <row r="833" s="174" customFormat="1"/>
    <row r="834" s="174" customFormat="1"/>
    <row r="835" s="174" customFormat="1"/>
    <row r="836" s="174" customFormat="1"/>
    <row r="837" s="174" customFormat="1"/>
    <row r="838" s="174" customFormat="1"/>
    <row r="839" s="174" customFormat="1"/>
    <row r="840" s="174" customFormat="1"/>
    <row r="841" s="174" customFormat="1"/>
    <row r="842" s="174" customFormat="1"/>
    <row r="843" s="174" customFormat="1"/>
    <row r="844" s="174" customFormat="1"/>
    <row r="845" s="174" customFormat="1"/>
    <row r="846" s="174" customFormat="1"/>
    <row r="847" s="174" customFormat="1"/>
    <row r="848" s="174" customFormat="1"/>
    <row r="849" s="174" customFormat="1"/>
    <row r="850" s="174" customFormat="1"/>
    <row r="851" s="174" customFormat="1"/>
    <row r="852" s="174" customFormat="1"/>
    <row r="853" s="174" customFormat="1"/>
    <row r="854" s="174" customFormat="1"/>
    <row r="855" s="174" customFormat="1"/>
    <row r="856" s="174" customFormat="1"/>
    <row r="857" s="174" customFormat="1"/>
    <row r="858" s="174" customFormat="1"/>
    <row r="859" s="174" customFormat="1"/>
    <row r="860" s="174" customFormat="1"/>
    <row r="861" s="174" customFormat="1"/>
    <row r="862" s="174" customFormat="1"/>
    <row r="863" s="174" customFormat="1"/>
    <row r="864" s="174" customFormat="1"/>
    <row r="865" s="174" customFormat="1"/>
    <row r="866" s="174" customFormat="1"/>
    <row r="867" s="174" customFormat="1"/>
    <row r="868" s="174" customFormat="1"/>
    <row r="869" s="174" customFormat="1"/>
    <row r="870" s="174" customFormat="1"/>
    <row r="871" s="174" customFormat="1"/>
    <row r="872" s="174" customFormat="1"/>
    <row r="873" s="174" customFormat="1"/>
    <row r="874" s="174" customFormat="1"/>
    <row r="875" s="174" customFormat="1"/>
    <row r="876" s="174" customFormat="1"/>
    <row r="877" s="174" customFormat="1"/>
    <row r="878" s="174" customFormat="1"/>
    <row r="879" s="174" customFormat="1"/>
    <row r="880" s="174" customFormat="1"/>
    <row r="881" s="174" customFormat="1"/>
    <row r="882" s="174"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5A9B0-2913-4BEC-BE71-C8C341A9498F}">
  <ds:schemaRefs>
    <ds:schemaRef ds:uri="http://schemas.microsoft.com/sharepoint/v3/contenttype/forms"/>
  </ds:schemaRefs>
</ds:datastoreItem>
</file>

<file path=customXml/itemProps2.xml><?xml version="1.0" encoding="utf-8"?>
<ds:datastoreItem xmlns:ds="http://schemas.openxmlformats.org/officeDocument/2006/customXml" ds:itemID="{8D6DB363-0BE4-4B2A-922A-835295257B00}">
  <ds:schemaRefs>
    <ds:schemaRef ds:uri="http://schemas.microsoft.com/office/infopath/2007/PartnerControls"/>
    <ds:schemaRef ds:uri="http://schemas.openxmlformats.org/package/2006/metadata/core-properties"/>
    <ds:schemaRef ds:uri="d3553cee-4ecc-4eb5-80d8-f24f98131822"/>
    <ds:schemaRef ds:uri="http://schemas.microsoft.com/office/2006/documentManagement/types"/>
    <ds:schemaRef ds:uri="http://purl.org/dc/terms/"/>
    <ds:schemaRef ds:uri="fc2f2499-f938-4cc0-a2cd-f3e7b3a200ae"/>
    <ds:schemaRef ds:uri="http://purl.org/dc/dcmitype/"/>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6610B19-3ACD-4CA3-AE1E-9FB250D66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NEW...Tables 87-90</vt:lpstr>
      <vt:lpstr>OLD...Tables</vt:lpstr>
      <vt:lpstr>NEW...Tables 91-112</vt:lpstr>
      <vt:lpstr>OLD...Tabs</vt:lpstr>
      <vt:lpstr>Pivot Table for Data Exchange</vt:lpstr>
      <vt:lpstr>05InstructionTypes</vt:lpstr>
      <vt:lpstr>Format for DE pivot</vt:lpstr>
      <vt:lpstr>Summary Table for Fact Book</vt:lpstr>
      <vt:lpstr>Pivot Table for Fact Book</vt:lpstr>
      <vt:lpstr>Format for FB Pivot Tab</vt:lpstr>
      <vt:lpstr>'NEW...Tables 87-90'!Print_Area</vt:lpstr>
      <vt:lpstr>'NEW...Tables 91-112'!Print_Area</vt:lpstr>
      <vt:lpstr>OLD...Tables!Print_Area</vt:lpstr>
      <vt:lpstr>OLD...Tabs!Print_Area</vt:lpstr>
      <vt:lpstr>'05InstructionTypes'!Type13gr1_1</vt:lpstr>
      <vt:lpstr>'05InstructionTypes'!Type13gr1_2</vt:lpstr>
      <vt:lpstr>'05InstructionTypes'!Type13gr1_3</vt:lpstr>
      <vt:lpstr>'05InstructionTypes'!Type13gr2_1</vt:lpstr>
      <vt:lpstr>'05InstructionTypes'!Type13gr2_2</vt:lpstr>
      <vt:lpstr>'05InstructionTypes'!Type13gr2_3</vt:lpstr>
      <vt:lpstr>'05InstructionTypes'!Type13gr3_1</vt:lpstr>
      <vt:lpstr>'05InstructionTypes'!Type13gr3_2</vt:lpstr>
      <vt:lpstr>'05InstructionTypes'!Type13gr3_3</vt:lpstr>
      <vt:lpstr>'05InstructionTypes'!Type13gr4_1</vt:lpstr>
      <vt:lpstr>'05InstructionTypes'!Type13gr4_2</vt:lpstr>
      <vt:lpstr>'05InstructionTypes'!Type13gr4_3</vt:lpstr>
      <vt:lpstr>'05InstructionTypes'!Type13gr5_2</vt:lpstr>
      <vt:lpstr>'05InstructionTypes'!Type13gr5_3</vt:lpstr>
      <vt:lpstr>'05InstructionTypes'!Type13gr5_4</vt:lpstr>
      <vt:lpstr>'05InstructionTypes'!Type13ug1_1</vt:lpstr>
      <vt:lpstr>'05InstructionTypes'!Type13ug1_2</vt:lpstr>
      <vt:lpstr>'05InstructionTypes'!Type13ug1_3</vt:lpstr>
      <vt:lpstr>'05InstructionTypes'!Type13ug2_1</vt:lpstr>
      <vt:lpstr>'05InstructionTypes'!Type13ug2_2</vt:lpstr>
      <vt:lpstr>'05InstructionTypes'!Type13ug2_3</vt:lpstr>
      <vt:lpstr>'05InstructionTypes'!Type13ug3_1</vt:lpstr>
      <vt:lpstr>'05InstructionTypes'!Type13ug3_2</vt:lpstr>
      <vt:lpstr>'05InstructionTypes'!Type13ug3_3</vt:lpstr>
      <vt:lpstr>'05InstructionTypes'!Type13ug4_1</vt:lpstr>
      <vt:lpstr>'05InstructionTypes'!Type13ug4_2</vt:lpstr>
      <vt:lpstr>'05InstructionTypes'!Type13ug4_3</vt:lpstr>
      <vt:lpstr>'05InstructionTypes'!Type13ug5_1</vt:lpstr>
      <vt:lpstr>'05InstructionTypes'!Type13ug5_2</vt:lpstr>
      <vt:lpstr>'05InstructionTypes'!Type13ug5_3</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SREB</dc:creator>
  <cp:lastModifiedBy>Christiana Datubo-Brown</cp:lastModifiedBy>
  <cp:lastPrinted>2016-03-15T16:03:45Z</cp:lastPrinted>
  <dcterms:created xsi:type="dcterms:W3CDTF">2010-11-24T15:25:05Z</dcterms:created>
  <dcterms:modified xsi:type="dcterms:W3CDTF">2021-02-25T08:02:43Z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rvey">
    <vt:lpwstr>05InstructionTypes</vt:lpwstr>
  </property>
  <property fmtid="{D5CDD505-2E9C-101B-9397-08002B2CF9AE}" pid="3" name="Survey Status">
    <vt:lpwstr>Template</vt:lpwstr>
  </property>
  <property fmtid="{D5CDD505-2E9C-101B-9397-08002B2CF9AE}" pid="4" name="State">
    <vt:lpwstr>AL</vt:lpwstr>
  </property>
  <property fmtid="{D5CDD505-2E9C-101B-9397-08002B2CF9AE}" pid="5" name="Agency">
    <vt:lpwstr>ACHE</vt:lpwstr>
  </property>
  <property fmtid="{D5CDD505-2E9C-101B-9397-08002B2CF9AE}" pid="6" name="ContentTypeId">
    <vt:lpwstr>0x0101008C9207C4D8AB6E4A9864D320D8693611</vt:lpwstr>
  </property>
  <property fmtid="{D5CDD505-2E9C-101B-9397-08002B2CF9AE}" pid="7" name="WorkflowChangePath">
    <vt:lpwstr>133843d5-d372-4001-96eb-52efd1ea8343,2;133843d5-d372-4001-96eb-52efd1ea8343,2;133843d5-d372-4001-96eb-52efd1ea8343,2;eaa8b4b4-d670-43a5-acb7-15cc2bb80337,4;eaa8b4b4-d670-43a5-acb7-15cc2bb80337,4;133843d5-d372-4001-96eb-52efd1ea8343,5;133843d5-d372-4001-96</vt:lpwstr>
  </property>
</Properties>
</file>